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260" windowHeight="14040" firstSheet="2" activeTab="3"/>
  </bookViews>
  <sheets>
    <sheet name="总分表" sheetId="4" r:id="rId1"/>
    <sheet name="计分表" sheetId="3" r:id="rId2"/>
    <sheet name="德育素质" sheetId="2" r:id="rId3"/>
    <sheet name="智育素质" sheetId="5" r:id="rId4"/>
    <sheet name="体育素质" sheetId="7" r:id="rId5"/>
    <sheet name="美育素质" sheetId="8" r:id="rId6"/>
    <sheet name="劳育素质" sheetId="10" r:id="rId7"/>
    <sheet name="创新与实践素质" sheetId="9" r:id="rId8"/>
  </sheets>
  <definedNames>
    <definedName name="_xlnm._FilterDatabase" localSheetId="7" hidden="1">创新与实践素质!$A$1:$L$81</definedName>
    <definedName name="_xlnm._FilterDatabase" localSheetId="2" hidden="1">德育素质!$A$1:$H$103</definedName>
    <definedName name="_xlnm._FilterDatabase" localSheetId="1" hidden="1">计分表!$A$3:$AF$30</definedName>
    <definedName name="_xlnm._FilterDatabase" localSheetId="6" hidden="1">劳育素质!$A$1:$K$62</definedName>
    <definedName name="_xlnm._FilterDatabase" localSheetId="5" hidden="1">美育素质!$A$1:$L$19</definedName>
    <definedName name="_xlnm._FilterDatabase" localSheetId="4" hidden="1">体育素质!$A$1:$L$139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<sst xmlns="http://schemas.openxmlformats.org/spreadsheetml/2006/main" count="2126" uniqueCount="213">
  <si>
    <t>班级</t>
  </si>
  <si>
    <t>学号</t>
  </si>
  <si>
    <t>姓名</t>
  </si>
  <si>
    <t>总分</t>
  </si>
  <si>
    <t>综合测评分排名</t>
  </si>
  <si>
    <t>平均学分绩点排名</t>
  </si>
  <si>
    <t>2023计算机科学与技术（基础拔尖基地）01</t>
  </si>
  <si>
    <t>302023663001</t>
  </si>
  <si>
    <t>302023663002</t>
  </si>
  <si>
    <t>302023663003</t>
  </si>
  <si>
    <t>302023663004</t>
  </si>
  <si>
    <t>302023663005</t>
  </si>
  <si>
    <t>302023663006</t>
  </si>
  <si>
    <t>302023663007</t>
  </si>
  <si>
    <t>302023663008</t>
  </si>
  <si>
    <t>302023663009</t>
  </si>
  <si>
    <t>302023663010</t>
  </si>
  <si>
    <t>302023663011</t>
  </si>
  <si>
    <t>302023663012</t>
  </si>
  <si>
    <t>302023663013</t>
  </si>
  <si>
    <t>302023663014</t>
  </si>
  <si>
    <t>302023663015</t>
  </si>
  <si>
    <t>302023663016</t>
  </si>
  <si>
    <t>302023663017</t>
  </si>
  <si>
    <t>302023663018</t>
  </si>
  <si>
    <t>302023663019</t>
  </si>
  <si>
    <t>302023663020</t>
  </si>
  <si>
    <t>302023663021</t>
  </si>
  <si>
    <t>302023663022</t>
  </si>
  <si>
    <t>302023663023</t>
  </si>
  <si>
    <t>302023663024</t>
  </si>
  <si>
    <t>302023503167</t>
  </si>
  <si>
    <t>302023572155</t>
  </si>
  <si>
    <t>302023562028</t>
  </si>
  <si>
    <t>德育素质分（10%）</t>
  </si>
  <si>
    <t>智育素质分(60%)</t>
  </si>
  <si>
    <t>体育素质（8%）</t>
  </si>
  <si>
    <t>美育素质（5%)</t>
  </si>
  <si>
    <t>劳育素质（5%）</t>
  </si>
  <si>
    <t>创新与实践素质（12%）</t>
  </si>
  <si>
    <t>综合测评总得分</t>
  </si>
  <si>
    <t>基本评定分项目
（满分：6分）</t>
  </si>
  <si>
    <t>记实加减分（满分：4分）</t>
  </si>
  <si>
    <t>德育素质总得分</t>
  </si>
  <si>
    <t>体育课程成绩
（满分：5分）</t>
  </si>
  <si>
    <t>课外体育活动成绩
（满分：3分）</t>
  </si>
  <si>
    <t>体育素质总得分</t>
  </si>
  <si>
    <t>文化艺术实践成绩
（满分：0.5分）</t>
  </si>
  <si>
    <t>校内外文化艺术活动</t>
  </si>
  <si>
    <t>美育素质总得分</t>
  </si>
  <si>
    <t>日常劳动</t>
  </si>
  <si>
    <t>志愿服务
（满分：4分）</t>
  </si>
  <si>
    <t>实习实训</t>
  </si>
  <si>
    <t>劳育素质总得分</t>
  </si>
  <si>
    <t>创新创业素质</t>
  </si>
  <si>
    <t>水平考试</t>
  </si>
  <si>
    <t>社会实践</t>
  </si>
  <si>
    <t>社会工作能力
（工作表现）</t>
  </si>
  <si>
    <t>创新与实践素质总得分</t>
  </si>
  <si>
    <t>集体评定等级分
（满分：2分）</t>
  </si>
  <si>
    <t>社会责任记实分
（满分：2分）</t>
  </si>
  <si>
    <t>违纪违规扣分</t>
  </si>
  <si>
    <t>荣誉称号加分</t>
  </si>
  <si>
    <t>校内外体育竞赛得分</t>
  </si>
  <si>
    <t>早锻炼总分</t>
  </si>
  <si>
    <t>校园跑总分</t>
  </si>
  <si>
    <t>AB类总分</t>
  </si>
  <si>
    <t>C类</t>
  </si>
  <si>
    <t>得分</t>
  </si>
  <si>
    <t>类别</t>
  </si>
  <si>
    <t>加减分条目</t>
  </si>
  <si>
    <t>等级</t>
  </si>
  <si>
    <t>学期</t>
  </si>
  <si>
    <t>分数</t>
  </si>
  <si>
    <t>基本评定分</t>
  </si>
  <si>
    <t>B</t>
  </si>
  <si>
    <t>集体评定等级分</t>
  </si>
  <si>
    <t>2024年四星级团支部</t>
  </si>
  <si>
    <t>院级</t>
  </si>
  <si>
    <t>社会责任记实分</t>
  </si>
  <si>
    <t>人才培养国际会议</t>
  </si>
  <si>
    <t>第三十六届“青春杯”五四火炬接力赛特别通报表扬</t>
  </si>
  <si>
    <t>2024浙江工业大学首届师生节开幕式及“凛跑和山”微型马拉松通报表扬</t>
  </si>
  <si>
    <t>校级</t>
  </si>
  <si>
    <t>A类学生社团下学期团内通报表扬</t>
  </si>
  <si>
    <t>2025年浙江省青少年高校科学营活动浙江工业大学分营计算机学院智能小车通报表扬</t>
  </si>
  <si>
    <t>健行学院2024-2025学年“优秀部门”</t>
  </si>
  <si>
    <t>健行学院优秀学生干部</t>
  </si>
  <si>
    <t>2024/2025学年第一学期“芯火计划”尚学团成员通报表扬</t>
  </si>
  <si>
    <t>健行学院2024-2025学年第二学期党员之家“党员先锋岗”志愿活动特别通报表扬</t>
  </si>
  <si>
    <t>健行学院2024-2025学年第一学期学生活动特别通报表扬</t>
  </si>
  <si>
    <t>A</t>
  </si>
  <si>
    <t>"健体标兵“荣誉称号</t>
  </si>
  <si>
    <t>2024年度院级优秀团员</t>
  </si>
  <si>
    <t>星级志愿者</t>
  </si>
  <si>
    <t>“五四火炬”接力赛一般通报表扬</t>
  </si>
  <si>
    <t>健行学院2024-2025学年第二学期党员之家“党员先锋岗”志愿活动</t>
  </si>
  <si>
    <t>健行学院2024-2025学年第一学期党员之家“党员先锋岗”志愿活动</t>
  </si>
  <si>
    <t>校级优秀团干</t>
  </si>
  <si>
    <t>通报表扬两次（寝室建设、五四接力）</t>
  </si>
  <si>
    <t>旷课2课时</t>
  </si>
  <si>
    <t>2024-2025学年“优秀部门”</t>
  </si>
  <si>
    <t>校级优秀团员</t>
  </si>
  <si>
    <t>校优秀学生</t>
  </si>
  <si>
    <t>院级通报表扬_党员先锋岗</t>
  </si>
  <si>
    <t>院级通报表扬_第三十五届校运动会</t>
  </si>
  <si>
    <t>院级通报表扬_寝室建设</t>
  </si>
  <si>
    <t>院级通报表扬_迎新晚会</t>
  </si>
  <si>
    <t>优秀办公室</t>
  </si>
  <si>
    <t>校优秀团员</t>
  </si>
  <si>
    <t>院级一般通报表扬（校运会、查寝工作、工大师生节、党员先锋岗）</t>
  </si>
  <si>
    <t>师生节院级通报表扬</t>
  </si>
  <si>
    <t>院级通报表扬</t>
  </si>
  <si>
    <t>运动会院级通报表扬</t>
  </si>
  <si>
    <t>健行学院院级通报表扬</t>
  </si>
  <si>
    <t>健行学院2024-2025（1）学期学院查寝工作通报表扬</t>
  </si>
  <si>
    <t>健行学院2024-2025学年第二学期党员之家“党员先锋岗”志愿活动通报表扬</t>
  </si>
  <si>
    <t>健行学院第三十五届校运动会通报表扬</t>
  </si>
  <si>
    <t>健行学院工大师生节通报表扬</t>
  </si>
  <si>
    <t>班级考评等级</t>
  </si>
  <si>
    <t>上学期</t>
  </si>
  <si>
    <t>下学期</t>
  </si>
  <si>
    <t>平均学分绩点</t>
  </si>
  <si>
    <t>奖次</t>
  </si>
  <si>
    <t>顺位</t>
  </si>
  <si>
    <t>团体比例系数</t>
  </si>
  <si>
    <t>体育课程成绩</t>
  </si>
  <si>
    <t>体育成绩</t>
  </si>
  <si>
    <t>校内外体育活动</t>
  </si>
  <si>
    <t>校园跑</t>
  </si>
  <si>
    <t>早锻炼</t>
  </si>
  <si>
    <t>校内外体育竞赛</t>
  </si>
  <si>
    <t>浙江工业大学木球锦标赛女子团体第一名</t>
  </si>
  <si>
    <t>第三十五届运动会仰卧起坐团体</t>
  </si>
  <si>
    <t>市/校级</t>
  </si>
  <si>
    <t>第一名</t>
  </si>
  <si>
    <t>队员</t>
  </si>
  <si>
    <t>校内外文化艺术竞赛</t>
  </si>
  <si>
    <t>浙江工业大学第三届“蓝盾杯”消防安全知识大赛</t>
  </si>
  <si>
    <t>三等奖</t>
  </si>
  <si>
    <t>浙江工业大学第一届“畅言杯”校园提案大赛</t>
  </si>
  <si>
    <t>一等奖</t>
  </si>
  <si>
    <t>寝室达人秀</t>
  </si>
  <si>
    <t>鼓励奖</t>
  </si>
  <si>
    <t>简历模拟大赛</t>
  </si>
  <si>
    <t>二等奖</t>
  </si>
  <si>
    <t>浙江工业大学“校园初印象”摄影大赛</t>
  </si>
  <si>
    <t>文化艺术实践</t>
  </si>
  <si>
    <t>合唱训练</t>
  </si>
  <si>
    <t>健行学院十佳歌手亚军</t>
  </si>
  <si>
    <t>屏峰校区十佳歌手</t>
  </si>
  <si>
    <t>健行学院雏鹰杯一等奖</t>
  </si>
  <si>
    <t>劳动日常考核基础分</t>
  </si>
  <si>
    <t>志愿服务</t>
  </si>
  <si>
    <t>A类+B类</t>
  </si>
  <si>
    <t>献血</t>
  </si>
  <si>
    <t>活动与卫生加减分</t>
  </si>
  <si>
    <t>健行学院第二学期三星级寝室</t>
  </si>
  <si>
    <t>健行学院第一学期五星级寝室</t>
  </si>
  <si>
    <t>西10#222干净寝室表扬</t>
  </si>
  <si>
    <t>2025凯乐石FUGA大坡赛·杭州青山站优秀志愿者</t>
  </si>
  <si>
    <t>2024-2025第二学期健行学院三星级寝室</t>
  </si>
  <si>
    <t>2024-2025第一学期健行学院五星级寝室</t>
  </si>
  <si>
    <t>寝室风采大赛</t>
  </si>
  <si>
    <t>互联网大会</t>
  </si>
  <si>
    <t>风采寝室</t>
  </si>
  <si>
    <t>2024年浙江省物理创新（理论）竞赛</t>
  </si>
  <si>
    <t>2024中国机器人大赛医疗机器人</t>
  </si>
  <si>
    <t>国家级</t>
  </si>
  <si>
    <t>2025中国高校计算机大赛团队程序设计天梯赛个人</t>
  </si>
  <si>
    <t>第十四届浙江省大学生智能汽车竞赛</t>
  </si>
  <si>
    <t>省级</t>
  </si>
  <si>
    <t>全国大学生数学竞赛</t>
  </si>
  <si>
    <t>浙江工业大学程序设计</t>
  </si>
  <si>
    <t>美国大学生数学建模竞赛</t>
  </si>
  <si>
    <t>H奖</t>
  </si>
  <si>
    <t>中国大学生服务外包大赛全国三等奖</t>
  </si>
  <si>
    <t>第三十三届办公技能大赛</t>
  </si>
  <si>
    <t>CET-6</t>
  </si>
  <si>
    <t>校级三创赛</t>
  </si>
  <si>
    <t>全国大学生数学建模竞赛</t>
  </si>
  <si>
    <t>社会工作能力（工作表现）</t>
  </si>
  <si>
    <t>健行学院学科部次要负责人</t>
  </si>
  <si>
    <t>健行学院暑期社会实践答辩三等奖</t>
  </si>
  <si>
    <t>国家计算机等级考试</t>
  </si>
  <si>
    <t>普通话考试</t>
  </si>
  <si>
    <t>“和利时杯”第十一届浙江省大学生服务外包创新应用本科组三等奖</t>
  </si>
  <si>
    <t>第二十届浙江省大学生电子商务竞赛浙江工业大学选拔赛三等奖</t>
  </si>
  <si>
    <t>第四十一届专业学术竞赛</t>
  </si>
  <si>
    <t>首届人工智能应用创新大赛</t>
  </si>
  <si>
    <t>校第三十六届“运河杯”大学生课外学术科技作品竞赛</t>
  </si>
  <si>
    <t>健行学院学生会自律部次要负责人</t>
  </si>
  <si>
    <t>第十七届“运河杯”浙江工业大学大学生创业大赛暨中国国际大学生创新大赛（2025）选拔赛</t>
  </si>
  <si>
    <t>浙江工业大学第十三届大学生节能减排社会实践与科技竞赛 二等奖</t>
  </si>
  <si>
    <t>健行学院23级团总支书记</t>
  </si>
  <si>
    <t>院级暑期社会实践二等奖</t>
  </si>
  <si>
    <t>2025年浙江工业大学第十三届大学生节能减排社会实践与科技竞赛</t>
  </si>
  <si>
    <t>班长</t>
  </si>
  <si>
    <t>健行学院学生会文体部主要负责人/班长</t>
  </si>
  <si>
    <t>健行学院暑期社会实践三等奖</t>
  </si>
  <si>
    <t>全国计算机等级考试三级_优秀</t>
  </si>
  <si>
    <t>M奖</t>
  </si>
  <si>
    <t>健行学院办公室主要负责人评级A （两学期）</t>
  </si>
  <si>
    <t>学习委员</t>
  </si>
  <si>
    <t>普通话</t>
  </si>
  <si>
    <t>实践委员</t>
  </si>
  <si>
    <t>国家计算机等级考试三级</t>
  </si>
  <si>
    <t>浙江工业大学数学建模校赛一等奖</t>
  </si>
  <si>
    <t>心理委员</t>
  </si>
  <si>
    <t>CET-4</t>
  </si>
  <si>
    <t>院志协主要负责人</t>
  </si>
  <si>
    <t>健行学院暑期社会实践</t>
  </si>
  <si>
    <t>国家计算机等级考试三级合格</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</si>
</sst>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6">
    <font>
      <sz val="11"/>
      <color theme="1"/>
      <name val="宋体"/>
      <charset val="134"/>
      <scheme val="minor"/>
    </font>
    <font>
      <sz val="11"/>
      <color theme="1"/>
      <name val="宋体"/>
      <charset val="134"/>
    </font>
    <font>
      <sz val="11"/>
      <name val="宋体"/>
      <charset val="134"/>
    </font>
    <font>
      <b/>
      <sz val="11"/>
      <color theme="1"/>
      <name val="宋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25" fillId="0" borderId="0"/>
    <xf numFmtId="0" fontId="25" fillId="0" borderId="0"/>
  </cellStyleXfs>
  <cellXfs count="31">
    <xf numFmtId="0" fontId="0" fillId="0" borderId="0" xfId="0">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xf>
    <xf numFmtId="0" fontId="0" fillId="0" borderId="0" xfId="0" applyAlignment="1">
      <alignment horizontal="center" vertical="center"/>
    </xf>
    <xf numFmtId="0" fontId="1" fillId="0" borderId="1" xfId="0" applyFont="1" applyBorder="1" applyAlignment="1">
      <alignment horizontal="center" vertical="center"/>
    </xf>
    <xf numFmtId="176" fontId="1"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0" fontId="0" fillId="0" borderId="1" xfId="0" applyBorder="1" applyAlignment="1">
      <alignment horizontal="center"/>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xf>
    <xf numFmtId="176" fontId="0" fillId="0" borderId="1" xfId="0" applyNumberFormat="1" applyBorder="1" applyAlignment="1">
      <alignment horizontal="center"/>
    </xf>
    <xf numFmtId="176" fontId="0" fillId="0" borderId="0" xfId="0" applyNumberFormat="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horizontal="center" vertical="center"/>
    </xf>
    <xf numFmtId="177" fontId="0" fillId="0" borderId="1" xfId="0" applyNumberFormat="1" applyBorder="1" applyAlignment="1">
      <alignment horizontal="center" vertical="center"/>
    </xf>
    <xf numFmtId="49" fontId="0" fillId="0" borderId="1" xfId="0" applyNumberFormat="1" applyBorder="1" applyAlignment="1">
      <alignment horizontal="center" vertical="center"/>
    </xf>
    <xf numFmtId="49" fontId="1" fillId="0" borderId="0" xfId="0" applyNumberFormat="1" applyFont="1" applyAlignment="1">
      <alignment horizontal="center" vertical="center" wrapText="1"/>
    </xf>
    <xf numFmtId="49" fontId="1" fillId="0" borderId="0" xfId="0" applyNumberFormat="1" applyFont="1" applyAlignment="1">
      <alignment horizontal="center" vertical="center"/>
    </xf>
    <xf numFmtId="177" fontId="1" fillId="0" borderId="0" xfId="0" applyNumberFormat="1" applyFont="1" applyAlignment="1">
      <alignment horizontal="center" vertical="center"/>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177" fontId="3" fillId="0" borderId="1" xfId="0" applyNumberFormat="1" applyFont="1" applyBorder="1" applyAlignment="1">
      <alignment horizontal="center" vertical="center" wrapText="1"/>
    </xf>
    <xf numFmtId="177" fontId="1" fillId="0" borderId="1" xfId="0" applyNumberFormat="1" applyFont="1" applyBorder="1" applyAlignment="1">
      <alignment horizontal="center" vertical="center" wrapText="1"/>
    </xf>
    <xf numFmtId="177" fontId="1" fillId="0" borderId="1" xfId="0" applyNumberFormat="1" applyFont="1" applyBorder="1" applyAlignment="1">
      <alignment horizontal="center" vertical="center"/>
    </xf>
    <xf numFmtId="177" fontId="2" fillId="0" borderId="1" xfId="5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4" fillId="0" borderId="1" xfId="51" applyNumberFormat="1" applyFont="1" applyBorder="1" applyAlignment="1">
      <alignment horizontal="center" vertical="center" wrapText="1"/>
    </xf>
    <xf numFmtId="177" fontId="0" fillId="0" borderId="0" xfId="0" applyNumberFormat="1" applyAlignment="1">
      <alignment horizontal="center" vertical="center"/>
    </xf>
    <xf numFmtId="0" fontId="0" fillId="0" borderId="1" xfId="0" applyBorder="1" applyAlignment="1">
      <alignment horizontal="center" vertical="center" wrapText="1"/>
    </xf>
    <xf numFmtId="49" fontId="0" fillId="0" borderId="1" xfId="0" applyNumberFormat="1" applyBorder="1" applyAlignment="1" quotePrefix="1">
      <alignment horizontal="center" vertical="center"/>
    </xf>
    <xf numFmtId="49" fontId="1" fillId="0" borderId="1" xfId="0" applyNumberFormat="1" applyFont="1" applyBorder="1" applyAlignment="1" quotePrefix="1">
      <alignment horizontal="center" vertical="center"/>
    </xf>
    <xf numFmtId="0" fontId="1" fillId="0" borderId="1" xfId="0" applyFont="1" applyBorder="1" applyAlignment="1" quotePrefix="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_Sheet1" xfId="50"/>
    <cellStyle name="常规_计科1101"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customXml" Target="../customXml/item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workbookViewId="0">
      <pane xSplit="2" ySplit="1" topLeftCell="C2" activePane="bottomRight" state="frozen"/>
      <selection/>
      <selection pane="topRight"/>
      <selection pane="bottomLeft"/>
      <selection pane="bottomRight" activeCell="E19" sqref="E19"/>
    </sheetView>
  </sheetViews>
  <sheetFormatPr defaultColWidth="9.18269230769231" defaultRowHeight="16.8" outlineLevelCol="5"/>
  <cols>
    <col min="1" max="1" width="44.5384615384615" style="1" customWidth="1"/>
    <col min="2" max="2" width="17.8173076923077" style="3" customWidth="1"/>
    <col min="3" max="3" width="8.63461538461539" style="3" customWidth="1"/>
    <col min="4" max="4" width="7.08653846153846" style="29" customWidth="1"/>
    <col min="5" max="5" width="17.6346153846154" style="3" customWidth="1"/>
    <col min="6" max="6" width="20" style="3" customWidth="1"/>
  </cols>
  <sheetData>
    <row r="1" ht="17" spans="1:6">
      <c r="A1" s="4" t="s">
        <v>0</v>
      </c>
      <c r="B1" s="30" t="s">
        <v>1</v>
      </c>
      <c r="C1" s="30" t="s">
        <v>2</v>
      </c>
      <c r="D1" s="14" t="s">
        <v>3</v>
      </c>
      <c r="E1" s="12" t="s">
        <v>4</v>
      </c>
      <c r="F1" s="12" t="s">
        <v>5</v>
      </c>
    </row>
    <row r="2" spans="1:6">
      <c r="A2" s="4" t="s">
        <v>6</v>
      </c>
      <c r="B2" s="31" t="s">
        <v>7</v>
      </c>
      <c r="C2" s="12"/>
      <c r="D2" s="14">
        <f>VLOOKUP(B2,计分表!B:AF,31,0)</f>
        <v>73.1502</v>
      </c>
      <c r="E2" s="12">
        <f>_xlfn.RANK.EQ(D2,$D$2:$D$28,0)</f>
        <v>9</v>
      </c>
      <c r="F2" s="12">
        <f>_xlfn.RANK.EQ(VLOOKUP(B2,智育素质!$B:$D,3,FALSE),智育素质!$D:$D,0)</f>
        <v>3</v>
      </c>
    </row>
    <row r="3" spans="1:6">
      <c r="A3" s="4" t="s">
        <v>6</v>
      </c>
      <c r="B3" s="31" t="s">
        <v>8</v>
      </c>
      <c r="C3" s="12"/>
      <c r="D3" s="14">
        <f>VLOOKUP(B3,计分表!B:AF,31,0)</f>
        <v>65.5728666666667</v>
      </c>
      <c r="E3" s="12">
        <f t="shared" ref="E3:E28" si="0">_xlfn.RANK.EQ(D3,$D$2:$D$28,0)</f>
        <v>18</v>
      </c>
      <c r="F3" s="12">
        <f>_xlfn.RANK.EQ(VLOOKUP(B3,智育素质!$B:$D,3,FALSE),智育素质!$D:$D,0)</f>
        <v>24</v>
      </c>
    </row>
    <row r="4" spans="1:6">
      <c r="A4" s="4" t="s">
        <v>6</v>
      </c>
      <c r="B4" s="31" t="s">
        <v>9</v>
      </c>
      <c r="C4" s="12"/>
      <c r="D4" s="14">
        <f>VLOOKUP(B4,计分表!B:AF,31,0)</f>
        <v>57.1272777777778</v>
      </c>
      <c r="E4" s="12">
        <f t="shared" si="0"/>
        <v>26</v>
      </c>
      <c r="F4" s="12">
        <f>_xlfn.RANK.EQ(VLOOKUP(B4,智育素质!$B:$D,3,FALSE),智育素质!$D:$D,0)</f>
        <v>26</v>
      </c>
    </row>
    <row r="5" spans="1:6">
      <c r="A5" s="4" t="s">
        <v>6</v>
      </c>
      <c r="B5" s="31" t="s">
        <v>10</v>
      </c>
      <c r="C5" s="12"/>
      <c r="D5" s="14">
        <f>VLOOKUP(B5,计分表!B:AF,31,0)</f>
        <v>64.5032777777778</v>
      </c>
      <c r="E5" s="12">
        <f t="shared" si="0"/>
        <v>19</v>
      </c>
      <c r="F5" s="12">
        <f>_xlfn.RANK.EQ(VLOOKUP(B5,智育素质!$B:$D,3,FALSE),智育素质!$D:$D,0)</f>
        <v>22</v>
      </c>
    </row>
    <row r="6" spans="1:6">
      <c r="A6" s="4" t="s">
        <v>6</v>
      </c>
      <c r="B6" s="31" t="s">
        <v>11</v>
      </c>
      <c r="C6" s="12"/>
      <c r="D6" s="14">
        <f>VLOOKUP(B6,计分表!B:AF,31,0)</f>
        <v>80.092</v>
      </c>
      <c r="E6" s="12">
        <f t="shared" si="0"/>
        <v>5</v>
      </c>
      <c r="F6" s="12">
        <f>_xlfn.RANK.EQ(VLOOKUP(B6,智育素质!$B:$D,3,FALSE),智育素质!$D:$D,0)</f>
        <v>6</v>
      </c>
    </row>
    <row r="7" spans="1:6">
      <c r="A7" s="4" t="s">
        <v>6</v>
      </c>
      <c r="B7" s="31" t="s">
        <v>12</v>
      </c>
      <c r="C7" s="12"/>
      <c r="D7" s="14">
        <f>VLOOKUP(B7,计分表!B:AF,31,0)</f>
        <v>72.71</v>
      </c>
      <c r="E7" s="12">
        <f t="shared" si="0"/>
        <v>10</v>
      </c>
      <c r="F7" s="12">
        <f>_xlfn.RANK.EQ(VLOOKUP(B7,智育素质!$B:$D,3,FALSE),智育素质!$D:$D,0)</f>
        <v>14</v>
      </c>
    </row>
    <row r="8" spans="1:6">
      <c r="A8" s="4" t="s">
        <v>6</v>
      </c>
      <c r="B8" s="31" t="s">
        <v>13</v>
      </c>
      <c r="C8" s="12"/>
      <c r="D8" s="14">
        <f>VLOOKUP(B8,计分表!B:AF,31,0)</f>
        <v>76.825</v>
      </c>
      <c r="E8" s="12">
        <f t="shared" si="0"/>
        <v>7</v>
      </c>
      <c r="F8" s="12">
        <f>_xlfn.RANK.EQ(VLOOKUP(B8,智育素质!$B:$D,3,FALSE),智育素质!$D:$D,0)</f>
        <v>8</v>
      </c>
    </row>
    <row r="9" spans="1:6">
      <c r="A9" s="4" t="s">
        <v>6</v>
      </c>
      <c r="B9" s="31" t="s">
        <v>14</v>
      </c>
      <c r="C9" s="12"/>
      <c r="D9" s="14">
        <f>VLOOKUP(B9,计分表!B:AF,31,0)</f>
        <v>63.6954166666667</v>
      </c>
      <c r="E9" s="12">
        <f t="shared" si="0"/>
        <v>22</v>
      </c>
      <c r="F9" s="12">
        <f>_xlfn.RANK.EQ(VLOOKUP(B9,智育素质!$B:$D,3,FALSE),智育素质!$D:$D,0)</f>
        <v>16</v>
      </c>
    </row>
    <row r="10" spans="1:6">
      <c r="A10" s="4" t="s">
        <v>6</v>
      </c>
      <c r="B10" s="31" t="s">
        <v>15</v>
      </c>
      <c r="C10" s="12"/>
      <c r="D10" s="14">
        <f>VLOOKUP(B10,计分表!B:AF,31,0)</f>
        <v>77.51</v>
      </c>
      <c r="E10" s="12">
        <f t="shared" si="0"/>
        <v>6</v>
      </c>
      <c r="F10" s="12">
        <f>_xlfn.RANK.EQ(VLOOKUP(B10,智育素质!$B:$D,3,FALSE),智育素质!$D:$D,0)</f>
        <v>7</v>
      </c>
    </row>
    <row r="11" spans="1:6">
      <c r="A11" s="4" t="s">
        <v>6</v>
      </c>
      <c r="B11" s="31" t="s">
        <v>16</v>
      </c>
      <c r="C11" s="12"/>
      <c r="D11" s="14">
        <f>VLOOKUP(B11,计分表!B:AF,31,0)</f>
        <v>50.4606666666667</v>
      </c>
      <c r="E11" s="12">
        <f t="shared" si="0"/>
        <v>27</v>
      </c>
      <c r="F11" s="12">
        <f>_xlfn.RANK.EQ(VLOOKUP(B11,智育素质!$B:$D,3,FALSE),智育素质!$D:$D,0)</f>
        <v>27</v>
      </c>
    </row>
    <row r="12" spans="1:6">
      <c r="A12" s="4" t="s">
        <v>6</v>
      </c>
      <c r="B12" s="31" t="s">
        <v>17</v>
      </c>
      <c r="C12" s="12"/>
      <c r="D12" s="14">
        <f>VLOOKUP(B12,计分表!B:AF,31,0)</f>
        <v>68.2047083333333</v>
      </c>
      <c r="E12" s="12">
        <f t="shared" si="0"/>
        <v>17</v>
      </c>
      <c r="F12" s="12">
        <f>_xlfn.RANK.EQ(VLOOKUP(B12,智育素质!$B:$D,3,FALSE),智育素质!$D:$D,0)</f>
        <v>4</v>
      </c>
    </row>
    <row r="13" spans="1:6">
      <c r="A13" s="4" t="s">
        <v>6</v>
      </c>
      <c r="B13" s="31" t="s">
        <v>18</v>
      </c>
      <c r="C13" s="12"/>
      <c r="D13" s="14">
        <f>VLOOKUP(B13,计分表!B:AF,31,0)</f>
        <v>64.0056666666667</v>
      </c>
      <c r="E13" s="12">
        <f t="shared" si="0"/>
        <v>20</v>
      </c>
      <c r="F13" s="12">
        <f>_xlfn.RANK.EQ(VLOOKUP(B13,智育素质!$B:$D,3,FALSE),智育素质!$D:$D,0)</f>
        <v>20</v>
      </c>
    </row>
    <row r="14" spans="1:6">
      <c r="A14" s="4" t="s">
        <v>6</v>
      </c>
      <c r="B14" s="31" t="s">
        <v>19</v>
      </c>
      <c r="C14" s="12"/>
      <c r="D14" s="14">
        <f>VLOOKUP(B14,计分表!B:AF,31,0)</f>
        <v>86.104</v>
      </c>
      <c r="E14" s="12">
        <f t="shared" si="0"/>
        <v>2</v>
      </c>
      <c r="F14" s="12">
        <f>_xlfn.RANK.EQ(VLOOKUP(B14,智育素质!$B:$D,3,FALSE),智育素质!$D:$D,0)</f>
        <v>2</v>
      </c>
    </row>
    <row r="15" spans="1:6">
      <c r="A15" s="4" t="s">
        <v>6</v>
      </c>
      <c r="B15" s="31" t="s">
        <v>20</v>
      </c>
      <c r="C15" s="12"/>
      <c r="D15" s="14">
        <f>VLOOKUP(B15,计分表!B:AF,31,0)</f>
        <v>82.5802</v>
      </c>
      <c r="E15" s="12">
        <f t="shared" si="0"/>
        <v>4</v>
      </c>
      <c r="F15" s="12">
        <f>_xlfn.RANK.EQ(VLOOKUP(B15,智育素质!$B:$D,3,FALSE),智育素质!$D:$D,0)</f>
        <v>13</v>
      </c>
    </row>
    <row r="16" spans="1:6">
      <c r="A16" s="4" t="s">
        <v>6</v>
      </c>
      <c r="B16" s="31" t="s">
        <v>21</v>
      </c>
      <c r="C16" s="12"/>
      <c r="D16" s="14">
        <f>VLOOKUP(B16,计分表!B:AF,31,0)</f>
        <v>68.4055416666667</v>
      </c>
      <c r="E16" s="12">
        <f t="shared" si="0"/>
        <v>16</v>
      </c>
      <c r="F16" s="12">
        <f>_xlfn.RANK.EQ(VLOOKUP(B16,智育素质!$B:$D,3,FALSE),智育素质!$D:$D,0)</f>
        <v>5</v>
      </c>
    </row>
    <row r="17" spans="1:6">
      <c r="A17" s="4" t="s">
        <v>6</v>
      </c>
      <c r="B17" s="31" t="s">
        <v>22</v>
      </c>
      <c r="C17" s="12"/>
      <c r="D17" s="14">
        <f>VLOOKUP(B17,计分表!B:AF,31,0)</f>
        <v>69.79</v>
      </c>
      <c r="E17" s="12">
        <f t="shared" si="0"/>
        <v>15</v>
      </c>
      <c r="F17" s="12">
        <f>_xlfn.RANK.EQ(VLOOKUP(B17,智育素质!$B:$D,3,FALSE),智育素质!$D:$D,0)</f>
        <v>18</v>
      </c>
    </row>
    <row r="18" spans="1:6">
      <c r="A18" s="4" t="s">
        <v>6</v>
      </c>
      <c r="B18" s="31" t="s">
        <v>23</v>
      </c>
      <c r="C18" s="12"/>
      <c r="D18" s="14">
        <f>VLOOKUP(B18,计分表!B:AF,31,0)</f>
        <v>70.4749111111111</v>
      </c>
      <c r="E18" s="12">
        <f t="shared" si="0"/>
        <v>12</v>
      </c>
      <c r="F18" s="12">
        <f>_xlfn.RANK.EQ(VLOOKUP(B18,智育素质!$B:$D,3,FALSE),智育素质!$D:$D,0)</f>
        <v>12</v>
      </c>
    </row>
    <row r="19" spans="1:6">
      <c r="A19" s="4" t="s">
        <v>6</v>
      </c>
      <c r="B19" s="31" t="s">
        <v>24</v>
      </c>
      <c r="C19" s="12"/>
      <c r="D19" s="14">
        <f>VLOOKUP(B19,计分表!B:AF,31,0)</f>
        <v>57.3016666666667</v>
      </c>
      <c r="E19" s="12">
        <f t="shared" si="0"/>
        <v>25</v>
      </c>
      <c r="F19" s="12">
        <f>_xlfn.RANK.EQ(VLOOKUP(B19,智育素质!$B:$D,3,FALSE),智育素质!$D:$D,0)</f>
        <v>25</v>
      </c>
    </row>
    <row r="20" spans="1:6">
      <c r="A20" s="4" t="s">
        <v>6</v>
      </c>
      <c r="B20" s="31" t="s">
        <v>25</v>
      </c>
      <c r="C20" s="12"/>
      <c r="D20" s="14">
        <f>VLOOKUP(B20,计分表!B:AF,31,0)</f>
        <v>82.6316666666667</v>
      </c>
      <c r="E20" s="12">
        <f t="shared" si="0"/>
        <v>3</v>
      </c>
      <c r="F20" s="12">
        <f>_xlfn.RANK.EQ(VLOOKUP(B20,智育素质!$B:$D,3,FALSE),智育素质!$D:$D,0)</f>
        <v>9</v>
      </c>
    </row>
    <row r="21" spans="1:6">
      <c r="A21" s="4" t="s">
        <v>6</v>
      </c>
      <c r="B21" s="31" t="s">
        <v>26</v>
      </c>
      <c r="C21" s="12"/>
      <c r="D21" s="14">
        <f>VLOOKUP(B21,计分表!B:AF,31,0)</f>
        <v>62.8336666666667</v>
      </c>
      <c r="E21" s="12">
        <f t="shared" si="0"/>
        <v>24</v>
      </c>
      <c r="F21" s="12">
        <f>_xlfn.RANK.EQ(VLOOKUP(B21,智育素质!$B:$D,3,FALSE),智育素质!$D:$D,0)</f>
        <v>23</v>
      </c>
    </row>
    <row r="22" spans="1:6">
      <c r="A22" s="4" t="s">
        <v>6</v>
      </c>
      <c r="B22" s="31" t="s">
        <v>27</v>
      </c>
      <c r="C22" s="12"/>
      <c r="D22" s="14">
        <f>VLOOKUP(B22,计分表!B:AF,31,0)</f>
        <v>63.9246666666667</v>
      </c>
      <c r="E22" s="12">
        <f t="shared" si="0"/>
        <v>21</v>
      </c>
      <c r="F22" s="12">
        <f>_xlfn.RANK.EQ(VLOOKUP(B22,智育素质!$B:$D,3,FALSE),智育素质!$D:$D,0)</f>
        <v>19</v>
      </c>
    </row>
    <row r="23" spans="1:6">
      <c r="A23" s="4" t="s">
        <v>6</v>
      </c>
      <c r="B23" s="31" t="s">
        <v>28</v>
      </c>
      <c r="C23" s="12"/>
      <c r="D23" s="14">
        <f>VLOOKUP(B23,计分表!B:AF,31,0)</f>
        <v>63.1576666666667</v>
      </c>
      <c r="E23" s="12">
        <f t="shared" si="0"/>
        <v>23</v>
      </c>
      <c r="F23" s="12">
        <f>_xlfn.RANK.EQ(VLOOKUP(B23,智育素质!$B:$D,3,FALSE),智育素质!$D:$D,0)</f>
        <v>21</v>
      </c>
    </row>
    <row r="24" spans="1:6">
      <c r="A24" s="4" t="s">
        <v>6</v>
      </c>
      <c r="B24" s="31" t="s">
        <v>29</v>
      </c>
      <c r="C24" s="12"/>
      <c r="D24" s="14">
        <f>VLOOKUP(B24,计分表!B:AF,31,0)</f>
        <v>70.2559083333333</v>
      </c>
      <c r="E24" s="12">
        <f t="shared" si="0"/>
        <v>14</v>
      </c>
      <c r="F24" s="12">
        <f>_xlfn.RANK.EQ(VLOOKUP(B24,智育素质!$B:$D,3,FALSE),智育素质!$D:$D,0)</f>
        <v>17</v>
      </c>
    </row>
    <row r="25" spans="1:6">
      <c r="A25" s="4" t="s">
        <v>6</v>
      </c>
      <c r="B25" s="31" t="s">
        <v>30</v>
      </c>
      <c r="C25" s="12"/>
      <c r="D25" s="14">
        <f>VLOOKUP(B25,计分表!B:AF,31,0)</f>
        <v>71.0972</v>
      </c>
      <c r="E25" s="12">
        <f t="shared" si="0"/>
        <v>11</v>
      </c>
      <c r="F25" s="12">
        <f>_xlfn.RANK.EQ(VLOOKUP(B25,智育素质!$B:$D,3,FALSE),智育素质!$D:$D,0)</f>
        <v>11</v>
      </c>
    </row>
    <row r="26" spans="1:6">
      <c r="A26" s="4" t="s">
        <v>6</v>
      </c>
      <c r="B26" s="31" t="s">
        <v>31</v>
      </c>
      <c r="C26" s="12"/>
      <c r="D26" s="14">
        <f>VLOOKUP(B26,计分表!B:AF,31,0)</f>
        <v>86.9328666666667</v>
      </c>
      <c r="E26" s="12">
        <f t="shared" si="0"/>
        <v>1</v>
      </c>
      <c r="F26" s="12">
        <f>_xlfn.RANK.EQ(VLOOKUP(B26,智育素质!$B:$D,3,FALSE),智育素质!$D:$D,0)</f>
        <v>1</v>
      </c>
    </row>
    <row r="27" spans="1:6">
      <c r="A27" s="4" t="s">
        <v>6</v>
      </c>
      <c r="B27" s="31" t="s">
        <v>32</v>
      </c>
      <c r="C27" s="12"/>
      <c r="D27" s="14">
        <f>VLOOKUP(B27,计分表!B:AF,31,0)</f>
        <v>70.2588666666667</v>
      </c>
      <c r="E27" s="12">
        <f t="shared" si="0"/>
        <v>13</v>
      </c>
      <c r="F27" s="12">
        <f>_xlfn.RANK.EQ(VLOOKUP(B27,智育素质!$B:$D,3,FALSE),智育素质!$D:$D,0)</f>
        <v>10</v>
      </c>
    </row>
    <row r="28" spans="1:6">
      <c r="A28" s="4" t="s">
        <v>6</v>
      </c>
      <c r="B28" s="31" t="s">
        <v>33</v>
      </c>
      <c r="C28" s="12"/>
      <c r="D28" s="14">
        <f>VLOOKUP(B28,计分表!B:AF,31,0)</f>
        <v>75.7666583333333</v>
      </c>
      <c r="E28" s="12">
        <f t="shared" si="0"/>
        <v>8</v>
      </c>
      <c r="F28" s="12">
        <f>_xlfn.RANK.EQ(VLOOKUP(B28,智育素质!$B:$D,3,FALSE),智育素质!$D:$D,0)</f>
        <v>15</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30"/>
  <sheetViews>
    <sheetView workbookViewId="0">
      <pane xSplit="2" ySplit="3" topLeftCell="C4" activePane="bottomRight" state="frozen"/>
      <selection/>
      <selection pane="topRight"/>
      <selection pane="bottomLeft"/>
      <selection pane="bottomRight" activeCell="U38" sqref="U38"/>
    </sheetView>
  </sheetViews>
  <sheetFormatPr defaultColWidth="9.18269230769231" defaultRowHeight="16.8"/>
  <cols>
    <col min="1" max="1" width="42.3653846153846" style="1" customWidth="1"/>
    <col min="2" max="2" width="14.0865384615385" style="17" customWidth="1"/>
    <col min="3" max="3" width="8.45192307692308" style="1" customWidth="1"/>
    <col min="4" max="4" width="15.9038461538462" style="18" customWidth="1"/>
    <col min="5" max="5" width="17.0865384615385" style="18" customWidth="1"/>
    <col min="6" max="6" width="15.9038461538462" style="18" customWidth="1"/>
    <col min="7" max="8" width="12.8173076923077" style="2" customWidth="1"/>
    <col min="9" max="9" width="7.08653846153846" style="2" customWidth="1"/>
    <col min="10" max="10" width="15.9038461538462" style="18" customWidth="1"/>
    <col min="11" max="11" width="16.7307692307692" style="18" customWidth="1"/>
    <col min="12" max="12" width="14.8173076923077" style="18" customWidth="1"/>
    <col min="13" max="13" width="20.1826923076923" style="18" customWidth="1"/>
    <col min="14" max="15" width="11.7307692307692" style="18" customWidth="1"/>
    <col min="16" max="16" width="6.08653846153846" style="18" customWidth="1"/>
    <col min="17" max="17" width="15.9038461538462" style="18" customWidth="1"/>
    <col min="18" max="18" width="18.0865384615385" style="18" customWidth="1"/>
    <col min="19" max="19" width="20.1826923076923" style="18" customWidth="1"/>
    <col min="20" max="20" width="15.9038461538462" style="18" customWidth="1"/>
    <col min="21" max="21" width="9.36538461538461" style="18" customWidth="1"/>
    <col min="22" max="22" width="10.1826923076923" style="18" customWidth="1"/>
    <col min="23" max="24" width="6.08653846153846" style="18" customWidth="1"/>
    <col min="25" max="25" width="9.36538461538461" style="18" customWidth="1"/>
    <col min="26" max="26" width="15.9038461538462" style="18" customWidth="1"/>
    <col min="27" max="27" width="13.8173076923077" style="18" customWidth="1"/>
    <col min="28" max="29" width="9.36538461538461" style="18" customWidth="1"/>
    <col min="30" max="30" width="7.36538461538461" style="18" customWidth="1"/>
    <col min="31" max="31" width="22.4519230769231" style="18" customWidth="1"/>
    <col min="32" max="32" width="15.9038461538462" style="18" customWidth="1"/>
    <col min="33" max="16384" width="9.18269230769231" style="1"/>
  </cols>
  <sheetData>
    <row r="1" s="16" customFormat="1" ht="40" customHeight="1" spans="1:32">
      <c r="A1" s="4" t="s">
        <v>0</v>
      </c>
      <c r="B1" s="19" t="s">
        <v>1</v>
      </c>
      <c r="C1" s="20" t="s">
        <v>2</v>
      </c>
      <c r="D1" s="21" t="s">
        <v>34</v>
      </c>
      <c r="E1" s="21"/>
      <c r="F1" s="21"/>
      <c r="G1" s="21"/>
      <c r="H1" s="21"/>
      <c r="I1" s="21"/>
      <c r="J1" s="21"/>
      <c r="K1" s="21" t="s">
        <v>35</v>
      </c>
      <c r="L1" s="21" t="s">
        <v>36</v>
      </c>
      <c r="M1" s="21"/>
      <c r="N1" s="21"/>
      <c r="O1" s="21"/>
      <c r="P1" s="21"/>
      <c r="Q1" s="21"/>
      <c r="R1" s="27" t="s">
        <v>37</v>
      </c>
      <c r="S1" s="27"/>
      <c r="T1" s="27"/>
      <c r="U1" s="21" t="s">
        <v>38</v>
      </c>
      <c r="V1" s="21"/>
      <c r="W1" s="21"/>
      <c r="X1" s="21"/>
      <c r="Y1" s="21"/>
      <c r="Z1" s="21"/>
      <c r="AA1" s="27" t="s">
        <v>39</v>
      </c>
      <c r="AB1" s="27"/>
      <c r="AC1" s="27"/>
      <c r="AD1" s="27"/>
      <c r="AE1" s="27"/>
      <c r="AF1" s="28" t="s">
        <v>40</v>
      </c>
    </row>
    <row r="2" s="16" customFormat="1" ht="40" customHeight="1" spans="1:32">
      <c r="A2" s="4"/>
      <c r="B2" s="19"/>
      <c r="C2" s="20"/>
      <c r="D2" s="22" t="s">
        <v>41</v>
      </c>
      <c r="E2" s="24" t="s">
        <v>42</v>
      </c>
      <c r="F2" s="24"/>
      <c r="G2" s="24"/>
      <c r="H2" s="24"/>
      <c r="I2" s="24"/>
      <c r="J2" s="22" t="s">
        <v>43</v>
      </c>
      <c r="K2" s="21"/>
      <c r="L2" s="24" t="s">
        <v>44</v>
      </c>
      <c r="M2" s="24" t="s">
        <v>45</v>
      </c>
      <c r="N2" s="24"/>
      <c r="O2" s="24"/>
      <c r="P2" s="24"/>
      <c r="Q2" s="24" t="s">
        <v>46</v>
      </c>
      <c r="R2" s="25" t="s">
        <v>47</v>
      </c>
      <c r="S2" s="24" t="s">
        <v>48</v>
      </c>
      <c r="T2" s="25" t="s">
        <v>49</v>
      </c>
      <c r="U2" s="22" t="s">
        <v>50</v>
      </c>
      <c r="V2" s="25" t="s">
        <v>51</v>
      </c>
      <c r="W2" s="25"/>
      <c r="X2" s="25"/>
      <c r="Y2" s="25" t="s">
        <v>52</v>
      </c>
      <c r="Z2" s="25" t="s">
        <v>53</v>
      </c>
      <c r="AA2" s="25" t="s">
        <v>54</v>
      </c>
      <c r="AB2" s="25" t="s">
        <v>55</v>
      </c>
      <c r="AC2" s="25" t="s">
        <v>56</v>
      </c>
      <c r="AD2" s="22" t="s">
        <v>57</v>
      </c>
      <c r="AE2" s="25" t="s">
        <v>58</v>
      </c>
      <c r="AF2" s="28"/>
    </row>
    <row r="3" s="16" customFormat="1" ht="40" customHeight="1" spans="1:32">
      <c r="A3" s="4"/>
      <c r="B3" s="19"/>
      <c r="C3" s="20"/>
      <c r="D3" s="22"/>
      <c r="E3" s="25" t="s">
        <v>59</v>
      </c>
      <c r="F3" s="25" t="s">
        <v>60</v>
      </c>
      <c r="G3" s="26" t="s">
        <v>61</v>
      </c>
      <c r="H3" s="26" t="s">
        <v>62</v>
      </c>
      <c r="I3" s="26" t="s">
        <v>3</v>
      </c>
      <c r="J3" s="22"/>
      <c r="K3" s="21"/>
      <c r="L3" s="24"/>
      <c r="M3" s="24" t="s">
        <v>63</v>
      </c>
      <c r="N3" s="24" t="s">
        <v>64</v>
      </c>
      <c r="O3" s="24" t="s">
        <v>65</v>
      </c>
      <c r="P3" s="24" t="s">
        <v>3</v>
      </c>
      <c r="Q3" s="24"/>
      <c r="R3" s="25"/>
      <c r="S3" s="24"/>
      <c r="T3" s="25"/>
      <c r="U3" s="22"/>
      <c r="V3" s="25" t="s">
        <v>66</v>
      </c>
      <c r="W3" s="25" t="s">
        <v>67</v>
      </c>
      <c r="X3" s="25" t="s">
        <v>68</v>
      </c>
      <c r="Y3" s="25"/>
      <c r="Z3" s="25"/>
      <c r="AA3" s="25"/>
      <c r="AB3" s="25"/>
      <c r="AC3" s="25"/>
      <c r="AD3" s="22"/>
      <c r="AE3" s="25"/>
      <c r="AF3" s="28"/>
    </row>
    <row r="4" spans="1:32">
      <c r="A4" s="4" t="s">
        <v>6</v>
      </c>
      <c r="B4" s="32" t="s">
        <v>7</v>
      </c>
      <c r="C4" s="4"/>
      <c r="D4" s="23">
        <f>SUMIFS(德育素质!H:H,德育素质!B:B,B4,德育素质!D:D,"=基本评定分")</f>
        <v>5.28</v>
      </c>
      <c r="E4" s="23">
        <f>MIN(2,SUMIFS(德育素质!H:H,德育素质!A:A,A4,德育素质!D:D,"=集体评定等级分",德育素质!E:E,"=班级考评等级")+SUMIFS(德育素质!H:H,德育素质!B:B,B4,德育素质!D:D,"=集体评定等级分"))</f>
        <v>2</v>
      </c>
      <c r="F4" s="23">
        <f>MIN(2,SUMIFS(德育素质!H:H,德育素质!B:B,B4,德育素质!D:D,"=社会责任记实分"))</f>
        <v>0</v>
      </c>
      <c r="G4" s="5">
        <f>SUMIFS(德育素质!H:H,德育素质!B:B,B4,德育素质!D:D,"=违纪违规扣分")</f>
        <v>0</v>
      </c>
      <c r="H4" s="5">
        <f>SUMIFS(德育素质!H:H,德育素质!B:B,B4,德育素质!D:D,"=荣誉称号加分")</f>
        <v>0</v>
      </c>
      <c r="I4" s="5">
        <f t="shared" ref="I4:I30" si="0">MIN(4,E4+F4+G4+H4)</f>
        <v>2</v>
      </c>
      <c r="J4" s="23">
        <f t="shared" ref="J4:J30" si="1">D4+I4</f>
        <v>7.28</v>
      </c>
      <c r="K4" s="23">
        <f>(VLOOKUP(B4,智育素质!B:D,3,0)*10+50)*0.6</f>
        <v>54.822</v>
      </c>
      <c r="L4" s="23">
        <f>SUMIFS(体育素质!J:J,体育素质!B:B,B4,体育素质!D:D,"=体育课程成绩",体育素质!E:E,"=体育成绩")/40</f>
        <v>4.475</v>
      </c>
      <c r="M4" s="23">
        <f>SUMIFS(体育素质!L:L,体育素质!B:B,B4,体育素质!D:D,"=校内外体育竞赛")</f>
        <v>0</v>
      </c>
      <c r="N4" s="23">
        <f>SUMIFS(体育素质!L:L,体育素质!B:B,B4,体育素质!D:D,"=校内外体育活动",体育素质!E:E,"=早锻炼")</f>
        <v>0.2</v>
      </c>
      <c r="O4" s="23">
        <f>SUMIFS(体育素质!L:L,体育素质!B:B,B4,体育素质!D:D,"=校内外体育活动",体育素质!E:E,"=校园跑")</f>
        <v>0.6</v>
      </c>
      <c r="P4" s="23">
        <f t="shared" ref="P4:P30" si="2">MIN(3,M4+N4+O4)</f>
        <v>0.8</v>
      </c>
      <c r="Q4" s="23">
        <f t="shared" ref="Q4:Q30" si="3">MIN(8,P4+L4)</f>
        <v>5.275</v>
      </c>
      <c r="R4" s="23">
        <f>MIN(0.5,SUMIFS(美育素质!L:L,美育素质!B:B,B4,美育素质!D:D,"=文化艺术实践"))</f>
        <v>0</v>
      </c>
      <c r="S4" s="23">
        <f>SUMIFS(美育素质!L:L,美育素质!B:B,B4,美育素质!D:D,"=校内外文化艺术竞赛")</f>
        <v>0</v>
      </c>
      <c r="T4" s="23">
        <f t="shared" ref="T4:T30" si="4">MIN(5,S4+R4)</f>
        <v>0</v>
      </c>
      <c r="U4" s="23">
        <f>MAX(0,SUMIFS(劳育素质!K:K,劳育素质!B:B,B4,劳育素质!D:D,"=劳动日常考核基础分")+SUMIFS(劳育素质!K:K,劳育素质!B:B,B4,劳育素质!D:D,"=活动与卫生加减分"))</f>
        <v>1.5532</v>
      </c>
      <c r="V4" s="23">
        <f>SUMIFS(劳育素质!K:K,劳育素质!B:B,B4,劳育素质!D:D,"=志愿服务",劳育素质!F:F,"=A类+B类")</f>
        <v>0.85</v>
      </c>
      <c r="W4" s="23">
        <f>SUMIFS(劳育素质!K:K,劳育素质!B:B,B4,劳育素质!D:D,"=志愿服务",劳育素质!F:F,"=C类")</f>
        <v>0</v>
      </c>
      <c r="X4" s="23">
        <f t="shared" ref="X4:X30" si="5">MIN(4,V4+W4)</f>
        <v>0.85</v>
      </c>
      <c r="Y4" s="23">
        <f>SUMIFS(劳育素质!K:K,劳育素质!B:B,B4,劳育素质!D:D,"=实习实训")</f>
        <v>0</v>
      </c>
      <c r="Z4" s="23">
        <f t="shared" ref="Z4:Z30" si="6">MIN(5,U4+X4+Y4)</f>
        <v>2.4032</v>
      </c>
      <c r="AA4" s="23">
        <f>SUMIFS(创新与实践素质!L:L,创新与实践素质!B:B,B4,创新与实践素质!D:D,"=创新创业素质")</f>
        <v>2.65</v>
      </c>
      <c r="AB4" s="23">
        <f>SUMIFS(创新与实践素质!L:L,创新与实践素质!B:B,B4,创新与实践素质!D:D,"=水平考试")</f>
        <v>0.72</v>
      </c>
      <c r="AC4" s="23">
        <f>SUMIFS(创新与实践素质!L:L,创新与实践素质!B:B,B4,创新与实践素质!D:D,"=社会实践")</f>
        <v>0</v>
      </c>
      <c r="AD4" s="23">
        <f>_xlfn.MAXIFS(创新与实践素质!L:L,创新与实践素质!B:B,B4,创新与实践素质!D:D,"=社会工作能力（工作表现）",创新与实践素质!G:G,"=上学期")+_xlfn.MAXIFS(创新与实践素质!L:L,创新与实践素质!B:B,B4,创新与实践素质!D:D,"=社会工作能力（工作表现）",创新与实践素质!G:G,"=下学期")</f>
        <v>0</v>
      </c>
      <c r="AE4" s="23">
        <f t="shared" ref="AE4:AE30" si="7">MIN(12,AA4+AB4+AC4+AD4)</f>
        <v>3.37</v>
      </c>
      <c r="AF4" s="23">
        <f t="shared" ref="AF4:AF30" si="8">AE4+Z4+T4+Q4+K4+J4</f>
        <v>73.1502</v>
      </c>
    </row>
    <row r="5" spans="1:32">
      <c r="A5" s="4" t="s">
        <v>6</v>
      </c>
      <c r="B5" s="32" t="s">
        <v>8</v>
      </c>
      <c r="C5" s="4"/>
      <c r="D5" s="23">
        <f>SUMIFS(德育素质!H:H,德育素质!B:B,B5,德育素质!D:D,"=基本评定分")</f>
        <v>5.28</v>
      </c>
      <c r="E5" s="23">
        <f>MIN(2,SUMIFS(德育素质!H:H,德育素质!A:A,A5,德育素质!D:D,"=集体评定等级分",德育素质!E:E,"=班级考评等级")+SUMIFS(德育素质!H:H,德育素质!B:B,B5,德育素质!D:D,"=集体评定等级分"))</f>
        <v>2</v>
      </c>
      <c r="F5" s="23">
        <f>MIN(2,SUMIFS(德育素质!H:H,德育素质!B:B,B5,德育素质!D:D,"=社会责任记实分"))</f>
        <v>0.5</v>
      </c>
      <c r="G5" s="5">
        <f>SUMIFS(德育素质!H:H,德育素质!B:B,B5,德育素质!D:D,"=违纪违规扣分")</f>
        <v>0</v>
      </c>
      <c r="H5" s="5">
        <f>SUMIFS(德育素质!H:H,德育素质!B:B,B5,德育素质!D:D,"=荣誉称号加分")</f>
        <v>0</v>
      </c>
      <c r="I5" s="5">
        <f t="shared" si="0"/>
        <v>2.5</v>
      </c>
      <c r="J5" s="23">
        <f t="shared" si="1"/>
        <v>7.78</v>
      </c>
      <c r="K5" s="23">
        <f>(VLOOKUP(B5,智育素质!B:D,3,0)*10+50)*0.6</f>
        <v>47.676</v>
      </c>
      <c r="L5" s="23">
        <f>SUMIFS(体育素质!J:J,体育素质!B:B,B5,体育素质!D:D,"=体育课程成绩",体育素质!E:E,"=体育成绩")/40</f>
        <v>3</v>
      </c>
      <c r="M5" s="23">
        <f>SUMIFS(体育素质!L:L,体育素质!B:B,B5,体育素质!D:D,"=校内外体育竞赛")</f>
        <v>0</v>
      </c>
      <c r="N5" s="23">
        <f>SUMIFS(体育素质!L:L,体育素质!B:B,B5,体育素质!D:D,"=校内外体育活动",体育素质!E:E,"=早锻炼")</f>
        <v>0.2</v>
      </c>
      <c r="O5" s="23">
        <f>SUMIFS(体育素质!L:L,体育素质!B:B,B5,体育素质!D:D,"=校内外体育活动",体育素质!E:E,"=校园跑")</f>
        <v>0.3</v>
      </c>
      <c r="P5" s="23">
        <f t="shared" si="2"/>
        <v>0.5</v>
      </c>
      <c r="Q5" s="23">
        <f t="shared" si="3"/>
        <v>3.5</v>
      </c>
      <c r="R5" s="23">
        <f>MIN(0.5,SUMIFS(美育素质!L:L,美育素质!B:B,B5,美育素质!D:D,"=文化艺术实践"))</f>
        <v>0</v>
      </c>
      <c r="S5" s="23">
        <f>SUMIFS(美育素质!L:L,美育素质!B:B,B5,美育素质!D:D,"=校内外文化艺术竞赛")</f>
        <v>1.25</v>
      </c>
      <c r="T5" s="23">
        <f t="shared" si="4"/>
        <v>1.25</v>
      </c>
      <c r="U5" s="23">
        <f>MAX(0,SUMIFS(劳育素质!K:K,劳育素质!B:B,B5,劳育素质!D:D,"=劳动日常考核基础分")+SUMIFS(劳育素质!K:K,劳育素质!B:B,B5,劳育素质!D:D,"=活动与卫生加减分"))</f>
        <v>1.51686666666667</v>
      </c>
      <c r="V5" s="23">
        <f>SUMIFS(劳育素质!K:K,劳育素质!B:B,B5,劳育素质!D:D,"=志愿服务",劳育素质!F:F,"=A类+B类")</f>
        <v>3</v>
      </c>
      <c r="W5" s="23">
        <f>SUMIFS(劳育素质!K:K,劳育素质!B:B,B5,劳育素质!D:D,"=志愿服务",劳育素质!F:F,"=C类")</f>
        <v>0</v>
      </c>
      <c r="X5" s="23">
        <f t="shared" si="5"/>
        <v>3</v>
      </c>
      <c r="Y5" s="23">
        <f>SUMIFS(劳育素质!K:K,劳育素质!B:B,B5,劳育素质!D:D,"=实习实训")</f>
        <v>0</v>
      </c>
      <c r="Z5" s="23">
        <f t="shared" si="6"/>
        <v>4.51686666666667</v>
      </c>
      <c r="AA5" s="23">
        <f>SUMIFS(创新与实践素质!L:L,创新与实践素质!B:B,B5,创新与实践素质!D:D,"=创新创业素质")</f>
        <v>0.85</v>
      </c>
      <c r="AB5" s="23">
        <f>SUMIFS(创新与实践素质!L:L,创新与实践素质!B:B,B5,创新与实践素质!D:D,"=水平考试")</f>
        <v>0</v>
      </c>
      <c r="AC5" s="23">
        <f>SUMIFS(创新与实践素质!L:L,创新与实践素质!B:B,B5,创新与实践素质!D:D,"=社会实践")</f>
        <v>0</v>
      </c>
      <c r="AD5" s="23">
        <f>_xlfn.MAXIFS(创新与实践素质!L:L,创新与实践素质!B:B,B5,创新与实践素质!D:D,"=社会工作能力（工作表现）",创新与实践素质!G:G,"=上学期")+_xlfn.MAXIFS(创新与实践素质!L:L,创新与实践素质!B:B,B5,创新与实践素质!D:D,"=社会工作能力（工作表现）",创新与实践素质!G:G,"=下学期")</f>
        <v>0</v>
      </c>
      <c r="AE5" s="23">
        <f t="shared" si="7"/>
        <v>0.85</v>
      </c>
      <c r="AF5" s="23">
        <f t="shared" si="8"/>
        <v>65.5728666666667</v>
      </c>
    </row>
    <row r="6" spans="1:32">
      <c r="A6" s="4" t="s">
        <v>6</v>
      </c>
      <c r="B6" s="32" t="s">
        <v>9</v>
      </c>
      <c r="C6" s="4"/>
      <c r="D6" s="23">
        <f>SUMIFS(德育素质!H:H,德育素质!B:B,B6,德育素质!D:D,"=基本评定分")</f>
        <v>5.28</v>
      </c>
      <c r="E6" s="23">
        <f>MIN(2,SUMIFS(德育素质!H:H,德育素质!A:A,A6,德育素质!D:D,"=集体评定等级分",德育素质!E:E,"=班级考评等级")+SUMIFS(德育素质!H:H,德育素质!B:B,B6,德育素质!D:D,"=集体评定等级分"))</f>
        <v>2</v>
      </c>
      <c r="F6" s="23">
        <f>MIN(2,SUMIFS(德育素质!H:H,德育素质!B:B,B6,德育素质!D:D,"=社会责任记实分"))</f>
        <v>0.1</v>
      </c>
      <c r="G6" s="5">
        <f>SUMIFS(德育素质!H:H,德育素质!B:B,B6,德育素质!D:D,"=违纪违规扣分")</f>
        <v>0</v>
      </c>
      <c r="H6" s="5">
        <f>SUMIFS(德育素质!H:H,德育素质!B:B,B6,德育素质!D:D,"=荣誉称号加分")</f>
        <v>0</v>
      </c>
      <c r="I6" s="5">
        <f t="shared" si="0"/>
        <v>2.1</v>
      </c>
      <c r="J6" s="23">
        <f t="shared" si="1"/>
        <v>7.38</v>
      </c>
      <c r="K6" s="23">
        <f>(VLOOKUP(B6,智育素质!B:D,3,0)*10+50)*0.6</f>
        <v>43.542</v>
      </c>
      <c r="L6" s="23">
        <f>SUMIFS(体育素质!J:J,体育素质!B:B,B6,体育素质!D:D,"=体育课程成绩",体育素质!E:E,"=体育成绩")/40</f>
        <v>3.85</v>
      </c>
      <c r="M6" s="23">
        <f>SUMIFS(体育素质!L:L,体育素质!B:B,B6,体育素质!D:D,"=校内外体育竞赛")</f>
        <v>0</v>
      </c>
      <c r="N6" s="23">
        <f>SUMIFS(体育素质!L:L,体育素质!B:B,B6,体育素质!D:D,"=校内外体育活动",体育素质!E:E,"=早锻炼")</f>
        <v>0.17</v>
      </c>
      <c r="O6" s="23">
        <f>SUMIFS(体育素质!L:L,体育素质!B:B,B6,体育素质!D:D,"=校内外体育活动",体育素质!E:E,"=校园跑")</f>
        <v>0.6</v>
      </c>
      <c r="P6" s="23">
        <f t="shared" si="2"/>
        <v>0.77</v>
      </c>
      <c r="Q6" s="23">
        <f t="shared" si="3"/>
        <v>4.62</v>
      </c>
      <c r="R6" s="23">
        <f>MIN(0.5,SUMIFS(美育素质!L:L,美育素质!B:B,B6,美育素质!D:D,"=文化艺术实践"))</f>
        <v>0</v>
      </c>
      <c r="S6" s="23">
        <f>SUMIFS(美育素质!L:L,美育素质!B:B,B6,美育素质!D:D,"=校内外文化艺术竞赛")</f>
        <v>0</v>
      </c>
      <c r="T6" s="23">
        <f t="shared" si="4"/>
        <v>0</v>
      </c>
      <c r="U6" s="23">
        <f>MAX(0,SUMIFS(劳育素质!K:K,劳育素质!B:B,B6,劳育素质!D:D,"=劳动日常考核基础分")+SUMIFS(劳育素质!K:K,劳育素质!B:B,B6,劳育素质!D:D,"=活动与卫生加减分"))</f>
        <v>1.58527777777778</v>
      </c>
      <c r="V6" s="23">
        <f>SUMIFS(劳育素质!K:K,劳育素质!B:B,B6,劳育素质!D:D,"=志愿服务",劳育素质!F:F,"=A类+B类")</f>
        <v>0</v>
      </c>
      <c r="W6" s="23">
        <f>SUMIFS(劳育素质!K:K,劳育素质!B:B,B6,劳育素质!D:D,"=志愿服务",劳育素质!F:F,"=C类")</f>
        <v>0</v>
      </c>
      <c r="X6" s="23">
        <f t="shared" si="5"/>
        <v>0</v>
      </c>
      <c r="Y6" s="23">
        <f>SUMIFS(劳育素质!K:K,劳育素质!B:B,B6,劳育素质!D:D,"=实习实训")</f>
        <v>0</v>
      </c>
      <c r="Z6" s="23">
        <f t="shared" si="6"/>
        <v>1.58527777777778</v>
      </c>
      <c r="AA6" s="23">
        <f>SUMIFS(创新与实践素质!L:L,创新与实践素质!B:B,B6,创新与实践素质!D:D,"=创新创业素质")</f>
        <v>0</v>
      </c>
      <c r="AB6" s="23">
        <f>SUMIFS(创新与实践素质!L:L,创新与实践素质!B:B,B6,创新与实践素质!D:D,"=水平考试")</f>
        <v>0</v>
      </c>
      <c r="AC6" s="23">
        <f>SUMIFS(创新与实践素质!L:L,创新与实践素质!B:B,B6,创新与实践素质!D:D,"=社会实践")</f>
        <v>0</v>
      </c>
      <c r="AD6" s="23">
        <f>_xlfn.MAXIFS(创新与实践素质!L:L,创新与实践素质!B:B,B6,创新与实践素质!D:D,"=社会工作能力（工作表现）",创新与实践素质!G:G,"=上学期")+_xlfn.MAXIFS(创新与实践素质!L:L,创新与实践素质!B:B,B6,创新与实践素质!D:D,"=社会工作能力（工作表现）",创新与实践素质!G:G,"=下学期")</f>
        <v>0</v>
      </c>
      <c r="AE6" s="23">
        <f t="shared" si="7"/>
        <v>0</v>
      </c>
      <c r="AF6" s="23">
        <f t="shared" si="8"/>
        <v>57.1272777777778</v>
      </c>
    </row>
    <row r="7" spans="1:32">
      <c r="A7" s="4" t="s">
        <v>6</v>
      </c>
      <c r="B7" s="32" t="s">
        <v>10</v>
      </c>
      <c r="C7" s="4"/>
      <c r="D7" s="23">
        <f>SUMIFS(德育素质!H:H,德育素质!B:B,B7,德育素质!D:D,"=基本评定分")</f>
        <v>5.28</v>
      </c>
      <c r="E7" s="23">
        <f>MIN(2,SUMIFS(德育素质!H:H,德育素质!A:A,A7,德育素质!D:D,"=集体评定等级分",德育素质!E:E,"=班级考评等级")+SUMIFS(德育素质!H:H,德育素质!B:B,B7,德育素质!D:D,"=集体评定等级分"))</f>
        <v>2</v>
      </c>
      <c r="F7" s="23">
        <f>MIN(2,SUMIFS(德育素质!H:H,德育素质!B:B,B7,德育素质!D:D,"=社会责任记实分"))</f>
        <v>0</v>
      </c>
      <c r="G7" s="5">
        <f>SUMIFS(德育素质!H:H,德育素质!B:B,B7,德育素质!D:D,"=违纪违规扣分")</f>
        <v>0</v>
      </c>
      <c r="H7" s="5">
        <f>SUMIFS(德育素质!H:H,德育素质!B:B,B7,德育素质!D:D,"=荣誉称号加分")</f>
        <v>0</v>
      </c>
      <c r="I7" s="5">
        <f t="shared" si="0"/>
        <v>2</v>
      </c>
      <c r="J7" s="23">
        <f t="shared" si="1"/>
        <v>7.28</v>
      </c>
      <c r="K7" s="23">
        <f>(VLOOKUP(B7,智育素质!B:D,3,0)*10+50)*0.6</f>
        <v>49.638</v>
      </c>
      <c r="L7" s="23">
        <f>SUMIFS(体育素质!J:J,体育素质!B:B,B7,体育素质!D:D,"=体育课程成绩",体育素质!E:E,"=体育成绩")/40</f>
        <v>4.3</v>
      </c>
      <c r="M7" s="23">
        <f>SUMIFS(体育素质!L:L,体育素质!B:B,B7,体育素质!D:D,"=校内外体育竞赛")</f>
        <v>0</v>
      </c>
      <c r="N7" s="23">
        <f>SUMIFS(体育素质!L:L,体育素质!B:B,B7,体育素质!D:D,"=校内外体育活动",体育素质!E:E,"=早锻炼")</f>
        <v>0.2</v>
      </c>
      <c r="O7" s="23">
        <f>SUMIFS(体育素质!L:L,体育素质!B:B,B7,体育素质!D:D,"=校内外体育活动",体育素质!E:E,"=校园跑")</f>
        <v>0.6</v>
      </c>
      <c r="P7" s="23">
        <f t="shared" si="2"/>
        <v>0.8</v>
      </c>
      <c r="Q7" s="23">
        <f t="shared" si="3"/>
        <v>5.1</v>
      </c>
      <c r="R7" s="23">
        <f>MIN(0.5,SUMIFS(美育素质!L:L,美育素质!B:B,B7,美育素质!D:D,"=文化艺术实践"))</f>
        <v>0</v>
      </c>
      <c r="S7" s="23">
        <f>SUMIFS(美育素质!L:L,美育素质!B:B,B7,美育素质!D:D,"=校内外文化艺术竞赛")</f>
        <v>0</v>
      </c>
      <c r="T7" s="23">
        <f t="shared" si="4"/>
        <v>0</v>
      </c>
      <c r="U7" s="23">
        <f>MAX(0,SUMIFS(劳育素质!K:K,劳育素质!B:B,B7,劳育素质!D:D,"=劳动日常考核基础分")+SUMIFS(劳育素质!K:K,劳育素质!B:B,B7,劳育素质!D:D,"=活动与卫生加减分"))</f>
        <v>1.58527777777778</v>
      </c>
      <c r="V7" s="23">
        <f>SUMIFS(劳育素质!K:K,劳育素质!B:B,B7,劳育素质!D:D,"=志愿服务",劳育素质!F:F,"=A类+B类")</f>
        <v>0</v>
      </c>
      <c r="W7" s="23">
        <f>SUMIFS(劳育素质!K:K,劳育素质!B:B,B7,劳育素质!D:D,"=志愿服务",劳育素质!F:F,"=C类")</f>
        <v>0</v>
      </c>
      <c r="X7" s="23">
        <f t="shared" si="5"/>
        <v>0</v>
      </c>
      <c r="Y7" s="23">
        <f>SUMIFS(劳育素质!K:K,劳育素质!B:B,B7,劳育素质!D:D,"=实习实训")</f>
        <v>0</v>
      </c>
      <c r="Z7" s="23">
        <f t="shared" si="6"/>
        <v>1.58527777777778</v>
      </c>
      <c r="AA7" s="23">
        <f>SUMIFS(创新与实践素质!L:L,创新与实践素质!B:B,B7,创新与实践素质!D:D,"=创新创业素质")</f>
        <v>0</v>
      </c>
      <c r="AB7" s="23">
        <f>SUMIFS(创新与实践素质!L:L,创新与实践素质!B:B,B7,创新与实践素质!D:D,"=水平考试")</f>
        <v>0.9</v>
      </c>
      <c r="AC7" s="23">
        <f>SUMIFS(创新与实践素质!L:L,创新与实践素质!B:B,B7,创新与实践素质!D:D,"=社会实践")</f>
        <v>0</v>
      </c>
      <c r="AD7" s="23">
        <f>_xlfn.MAXIFS(创新与实践素质!L:L,创新与实践素质!B:B,B7,创新与实践素质!D:D,"=社会工作能力（工作表现）",创新与实践素质!G:G,"=上学期")+_xlfn.MAXIFS(创新与实践素质!L:L,创新与实践素质!B:B,B7,创新与实践素质!D:D,"=社会工作能力（工作表现）",创新与实践素质!G:G,"=下学期")</f>
        <v>0</v>
      </c>
      <c r="AE7" s="23">
        <f t="shared" si="7"/>
        <v>0.9</v>
      </c>
      <c r="AF7" s="23">
        <f t="shared" si="8"/>
        <v>64.5032777777778</v>
      </c>
    </row>
    <row r="8" spans="1:32">
      <c r="A8" s="4" t="s">
        <v>6</v>
      </c>
      <c r="B8" s="32" t="s">
        <v>11</v>
      </c>
      <c r="C8" s="4"/>
      <c r="D8" s="23">
        <f>SUMIFS(德育素质!H:H,德育素质!B:B,B8,德育素质!D:D,"=基本评定分")</f>
        <v>5.28</v>
      </c>
      <c r="E8" s="23">
        <f>MIN(2,SUMIFS(德育素质!H:H,德育素质!A:A,A8,德育素质!D:D,"=集体评定等级分",德育素质!E:E,"=班级考评等级")+SUMIFS(德育素质!H:H,德育素质!B:B,B8,德育素质!D:D,"=集体评定等级分"))</f>
        <v>2</v>
      </c>
      <c r="F8" s="23">
        <f>MIN(2,SUMIFS(德育素质!H:H,德育素质!B:B,B8,德育素质!D:D,"=社会责任记实分"))</f>
        <v>0.3</v>
      </c>
      <c r="G8" s="5">
        <f>SUMIFS(德育素质!H:H,德育素质!B:B,B8,德育素质!D:D,"=违纪违规扣分")</f>
        <v>0</v>
      </c>
      <c r="H8" s="5">
        <f>SUMIFS(德育素质!H:H,德育素质!B:B,B8,德育素质!D:D,"=荣誉称号加分")</f>
        <v>0.25</v>
      </c>
      <c r="I8" s="5">
        <f t="shared" si="0"/>
        <v>2.55</v>
      </c>
      <c r="J8" s="23">
        <f t="shared" si="1"/>
        <v>7.83</v>
      </c>
      <c r="K8" s="23">
        <f>(VLOOKUP(B8,智育素质!B:D,3,0)*10+50)*0.6</f>
        <v>54.162</v>
      </c>
      <c r="L8" s="23">
        <f>SUMIFS(体育素质!J:J,体育素质!B:B,B8,体育素质!D:D,"=体育课程成绩",体育素质!E:E,"=体育成绩")/40</f>
        <v>4.3</v>
      </c>
      <c r="M8" s="23">
        <f>SUMIFS(体育素质!L:L,体育素质!B:B,B8,体育素质!D:D,"=校内外体育竞赛")</f>
        <v>1</v>
      </c>
      <c r="N8" s="23">
        <f>SUMIFS(体育素质!L:L,体育素质!B:B,B8,体育素质!D:D,"=校内外体育活动",体育素质!E:E,"=早锻炼")</f>
        <v>0.2</v>
      </c>
      <c r="O8" s="23">
        <f>SUMIFS(体育素质!L:L,体育素质!B:B,B8,体育素质!D:D,"=校内外体育活动",体育素质!E:E,"=校园跑")</f>
        <v>0.6</v>
      </c>
      <c r="P8" s="23">
        <f t="shared" si="2"/>
        <v>1.8</v>
      </c>
      <c r="Q8" s="23">
        <f t="shared" si="3"/>
        <v>6.1</v>
      </c>
      <c r="R8" s="23">
        <f>MIN(0.5,SUMIFS(美育素质!L:L,美育素质!B:B,B8,美育素质!D:D,"=文化艺术实践"))</f>
        <v>0</v>
      </c>
      <c r="S8" s="23">
        <f>SUMIFS(美育素质!L:L,美育素质!B:B,B8,美育素质!D:D,"=校内外文化艺术竞赛")</f>
        <v>0.05</v>
      </c>
      <c r="T8" s="23">
        <f t="shared" si="4"/>
        <v>0.05</v>
      </c>
      <c r="U8" s="23">
        <f>MAX(0,SUMIFS(劳育素质!K:K,劳育素质!B:B,B8,劳育素质!D:D,"=劳动日常考核基础分")+SUMIFS(劳育素质!K:K,劳育素质!B:B,B8,劳育素质!D:D,"=活动与卫生加减分"))</f>
        <v>2.57173333333333</v>
      </c>
      <c r="V8" s="23">
        <f>SUMIFS(劳育素质!K:K,劳育素质!B:B,B8,劳育素质!D:D,"=志愿服务",劳育素质!F:F,"=A类+B类")</f>
        <v>3</v>
      </c>
      <c r="W8" s="23">
        <f>SUMIFS(劳育素质!K:K,劳育素质!B:B,B8,劳育素质!D:D,"=志愿服务",劳育素质!F:F,"=C类")</f>
        <v>0</v>
      </c>
      <c r="X8" s="23">
        <f t="shared" si="5"/>
        <v>3</v>
      </c>
      <c r="Y8" s="23">
        <f>SUMIFS(劳育素质!K:K,劳育素质!B:B,B8,劳育素质!D:D,"=实习实训")</f>
        <v>0</v>
      </c>
      <c r="Z8" s="23">
        <f t="shared" si="6"/>
        <v>5</v>
      </c>
      <c r="AA8" s="23">
        <f>SUMIFS(创新与实践素质!L:L,创新与实践素质!B:B,B8,创新与实践素质!D:D,"=创新创业素质")</f>
        <v>5.5</v>
      </c>
      <c r="AB8" s="23">
        <f>SUMIFS(创新与实践素质!L:L,创新与实践素质!B:B,B8,创新与实践素质!D:D,"=水平考试")</f>
        <v>0.75</v>
      </c>
      <c r="AC8" s="23">
        <f>SUMIFS(创新与实践素质!L:L,创新与实践素质!B:B,B8,创新与实践素质!D:D,"=社会实践")</f>
        <v>0.1</v>
      </c>
      <c r="AD8" s="23">
        <f>_xlfn.MAXIFS(创新与实践素质!L:L,创新与实践素质!B:B,B8,创新与实践素质!D:D,"=社会工作能力（工作表现）",创新与实践素质!G:G,"=上学期")+_xlfn.MAXIFS(创新与实践素质!L:L,创新与实践素质!B:B,B8,创新与实践素质!D:D,"=社会工作能力（工作表现）",创新与实践素质!G:G,"=下学期")</f>
        <v>0.6</v>
      </c>
      <c r="AE8" s="23">
        <f t="shared" si="7"/>
        <v>6.95</v>
      </c>
      <c r="AF8" s="23">
        <f t="shared" si="8"/>
        <v>80.092</v>
      </c>
    </row>
    <row r="9" spans="1:32">
      <c r="A9" s="4" t="s">
        <v>6</v>
      </c>
      <c r="B9" s="32" t="s">
        <v>12</v>
      </c>
      <c r="C9" s="4"/>
      <c r="D9" s="23">
        <f>SUMIFS(德育素质!H:H,德育素质!B:B,B9,德育素质!D:D,"=基本评定分")</f>
        <v>6</v>
      </c>
      <c r="E9" s="23">
        <f>MIN(2,SUMIFS(德育素质!H:H,德育素质!A:A,A9,德育素质!D:D,"=集体评定等级分",德育素质!E:E,"=班级考评等级")+SUMIFS(德育素质!H:H,德育素质!B:B,B9,德育素质!D:D,"=集体评定等级分"))</f>
        <v>2</v>
      </c>
      <c r="F9" s="23">
        <f>MIN(2,SUMIFS(德育素质!H:H,德育素质!B:B,B9,德育素质!D:D,"=社会责任记实分"))</f>
        <v>0</v>
      </c>
      <c r="G9" s="5">
        <f>SUMIFS(德育素质!H:H,德育素质!B:B,B9,德育素质!D:D,"=违纪违规扣分")</f>
        <v>0</v>
      </c>
      <c r="H9" s="5">
        <f>SUMIFS(德育素质!H:H,德育素质!B:B,B9,德育素质!D:D,"=荣誉称号加分")</f>
        <v>0</v>
      </c>
      <c r="I9" s="5">
        <f t="shared" si="0"/>
        <v>2</v>
      </c>
      <c r="J9" s="23">
        <f t="shared" si="1"/>
        <v>8</v>
      </c>
      <c r="K9" s="23">
        <f>(VLOOKUP(B9,智育素质!B:D,3,0)*10+50)*0.6</f>
        <v>52.26</v>
      </c>
      <c r="L9" s="23">
        <f>SUMIFS(体育素质!J:J,体育素质!B:B,B9,体育素质!D:D,"=体育课程成绩",体育素质!E:E,"=体育成绩")/40</f>
        <v>4.8</v>
      </c>
      <c r="M9" s="23">
        <f>SUMIFS(体育素质!L:L,体育素质!B:B,B9,体育素质!D:D,"=校内外体育竞赛")</f>
        <v>1</v>
      </c>
      <c r="N9" s="23">
        <f>SUMIFS(体育素质!L:L,体育素质!B:B,B9,体育素质!D:D,"=校内外体育活动",体育素质!E:E,"=早锻炼")</f>
        <v>0.2</v>
      </c>
      <c r="O9" s="23">
        <f>SUMIFS(体育素质!L:L,体育素质!B:B,B9,体育素质!D:D,"=校内外体育活动",体育素质!E:E,"=校园跑")</f>
        <v>0.6</v>
      </c>
      <c r="P9" s="23">
        <f t="shared" si="2"/>
        <v>1.8</v>
      </c>
      <c r="Q9" s="23">
        <f t="shared" si="3"/>
        <v>6.6</v>
      </c>
      <c r="R9" s="23">
        <f>MIN(0.5,SUMIFS(美育素质!L:L,美育素质!B:B,B9,美育素质!D:D,"=文化艺术实践"))</f>
        <v>0</v>
      </c>
      <c r="S9" s="23">
        <f>SUMIFS(美育素质!L:L,美育素质!B:B,B9,美育素质!D:D,"=校内外文化艺术竞赛")</f>
        <v>0.35</v>
      </c>
      <c r="T9" s="23">
        <f t="shared" si="4"/>
        <v>0.35</v>
      </c>
      <c r="U9" s="23">
        <f>MAX(0,SUMIFS(劳育素质!K:K,劳育素质!B:B,B9,劳育素质!D:D,"=劳动日常考核基础分")+SUMIFS(劳育素质!K:K,劳育素质!B:B,B9,劳育素质!D:D,"=活动与卫生加减分"))</f>
        <v>2.06173333333333</v>
      </c>
      <c r="V9" s="23">
        <f>SUMIFS(劳育素质!K:K,劳育素质!B:B,B9,劳育素质!D:D,"=志愿服务",劳育素质!F:F,"=A类+B类")</f>
        <v>3</v>
      </c>
      <c r="W9" s="23">
        <f>SUMIFS(劳育素质!K:K,劳育素质!B:B,B9,劳育素质!D:D,"=志愿服务",劳育素质!F:F,"=C类")</f>
        <v>0</v>
      </c>
      <c r="X9" s="23">
        <f t="shared" si="5"/>
        <v>3</v>
      </c>
      <c r="Y9" s="23">
        <f>SUMIFS(劳育素质!K:K,劳育素质!B:B,B9,劳育素质!D:D,"=实习实训")</f>
        <v>0</v>
      </c>
      <c r="Z9" s="23">
        <f t="shared" si="6"/>
        <v>5</v>
      </c>
      <c r="AA9" s="23">
        <f>SUMIFS(创新与实践素质!L:L,创新与实践素质!B:B,B9,创新与实践素质!D:D,"=创新创业素质")</f>
        <v>0</v>
      </c>
      <c r="AB9" s="23">
        <f>SUMIFS(创新与实践素质!L:L,创新与实践素质!B:B,B9,创新与实践素质!D:D,"=水平考试")</f>
        <v>0.5</v>
      </c>
      <c r="AC9" s="23">
        <f>SUMIFS(创新与实践素质!L:L,创新与实践素质!B:B,B9,创新与实践素质!D:D,"=社会实践")</f>
        <v>0</v>
      </c>
      <c r="AD9" s="23">
        <f>_xlfn.MAXIFS(创新与实践素质!L:L,创新与实践素质!B:B,B9,创新与实践素质!D:D,"=社会工作能力（工作表现）",创新与实践素质!G:G,"=上学期")+_xlfn.MAXIFS(创新与实践素质!L:L,创新与实践素质!B:B,B9,创新与实践素质!D:D,"=社会工作能力（工作表现）",创新与实践素质!G:G,"=下学期")</f>
        <v>0</v>
      </c>
      <c r="AE9" s="23">
        <f t="shared" si="7"/>
        <v>0.5</v>
      </c>
      <c r="AF9" s="23">
        <f t="shared" si="8"/>
        <v>72.71</v>
      </c>
    </row>
    <row r="10" spans="1:32">
      <c r="A10" s="4" t="s">
        <v>6</v>
      </c>
      <c r="B10" s="32" t="s">
        <v>13</v>
      </c>
      <c r="C10" s="4"/>
      <c r="D10" s="23">
        <f>SUMIFS(德育素质!H:H,德育素质!B:B,B10,德育素质!D:D,"=基本评定分")</f>
        <v>5.28</v>
      </c>
      <c r="E10" s="23">
        <f>MIN(2,SUMIFS(德育素质!H:H,德育素质!A:A,A10,德育素质!D:D,"=集体评定等级分",德育素质!E:E,"=班级考评等级")+SUMIFS(德育素质!H:H,德育素质!B:B,B10,德育素质!D:D,"=集体评定等级分"))</f>
        <v>2</v>
      </c>
      <c r="F10" s="23">
        <f>MIN(2,SUMIFS(德育素质!H:H,德育素质!B:B,B10,德育素质!D:D,"=社会责任记实分"))</f>
        <v>0.3</v>
      </c>
      <c r="G10" s="5">
        <f>SUMIFS(德育素质!H:H,德育素质!B:B,B10,德育素质!D:D,"=违纪违规扣分")</f>
        <v>0</v>
      </c>
      <c r="H10" s="5">
        <f>SUMIFS(德育素质!H:H,德育素质!B:B,B10,德育素质!D:D,"=荣誉称号加分")</f>
        <v>1</v>
      </c>
      <c r="I10" s="5">
        <f t="shared" si="0"/>
        <v>3.3</v>
      </c>
      <c r="J10" s="23">
        <f t="shared" si="1"/>
        <v>8.58</v>
      </c>
      <c r="K10" s="23">
        <f>(VLOOKUP(B10,智育素质!B:D,3,0)*10+50)*0.6</f>
        <v>53.874</v>
      </c>
      <c r="L10" s="23">
        <f>SUMIFS(体育素质!J:J,体育素质!B:B,B10,体育素质!D:D,"=体育课程成绩",体育素质!E:E,"=体育成绩")/40</f>
        <v>3.225</v>
      </c>
      <c r="M10" s="23">
        <f>SUMIFS(体育素质!L:L,体育素质!B:B,B10,体育素质!D:D,"=校内外体育竞赛")</f>
        <v>0</v>
      </c>
      <c r="N10" s="23">
        <f>SUMIFS(体育素质!L:L,体育素质!B:B,B10,体育素质!D:D,"=校内外体育活动",体育素质!E:E,"=早锻炼")</f>
        <v>0.2</v>
      </c>
      <c r="O10" s="23">
        <f>SUMIFS(体育素质!L:L,体育素质!B:B,B10,体育素质!D:D,"=校内外体育活动",体育素质!E:E,"=校园跑")</f>
        <v>0.6</v>
      </c>
      <c r="P10" s="23">
        <f t="shared" si="2"/>
        <v>0.8</v>
      </c>
      <c r="Q10" s="23">
        <f t="shared" si="3"/>
        <v>4.025</v>
      </c>
      <c r="R10" s="23">
        <f>MIN(0.5,SUMIFS(美育素质!L:L,美育素质!B:B,B10,美育素质!D:D,"=文化艺术实践"))</f>
        <v>0</v>
      </c>
      <c r="S10" s="23">
        <f>SUMIFS(美育素质!L:L,美育素质!B:B,B10,美育素质!D:D,"=校内外文化艺术竞赛")</f>
        <v>0</v>
      </c>
      <c r="T10" s="23">
        <f t="shared" si="4"/>
        <v>0</v>
      </c>
      <c r="U10" s="23">
        <f>MAX(0,SUMIFS(劳育素质!K:K,劳育素质!B:B,B10,劳育素质!D:D,"=劳动日常考核基础分")+SUMIFS(劳育素质!K:K,劳育素质!B:B,B10,劳育素质!D:D,"=活动与卫生加减分"))</f>
        <v>1.546</v>
      </c>
      <c r="V10" s="23">
        <f>SUMIFS(劳育素质!K:K,劳育素质!B:B,B10,劳育素质!D:D,"=志愿服务",劳育素质!F:F,"=A类+B类")</f>
        <v>3</v>
      </c>
      <c r="W10" s="23">
        <f>SUMIFS(劳育素质!K:K,劳育素质!B:B,B10,劳育素质!D:D,"=志愿服务",劳育素质!F:F,"=C类")</f>
        <v>0.25</v>
      </c>
      <c r="X10" s="23">
        <f t="shared" si="5"/>
        <v>3.25</v>
      </c>
      <c r="Y10" s="23">
        <f>SUMIFS(劳育素质!K:K,劳育素质!B:B,B10,劳育素质!D:D,"=实习实训")</f>
        <v>0</v>
      </c>
      <c r="Z10" s="23">
        <f t="shared" si="6"/>
        <v>4.796</v>
      </c>
      <c r="AA10" s="23">
        <f>SUMIFS(创新与实践素质!L:L,创新与实践素质!B:B,B10,创新与实践素质!D:D,"=创新创业素质")</f>
        <v>4.75</v>
      </c>
      <c r="AB10" s="23">
        <f>SUMIFS(创新与实践素质!L:L,创新与实践素质!B:B,B10,创新与实践素质!D:D,"=水平考试")</f>
        <v>0</v>
      </c>
      <c r="AC10" s="23">
        <f>SUMIFS(创新与实践素质!L:L,创新与实践素质!B:B,B10,创新与实践素质!D:D,"=社会实践")</f>
        <v>0</v>
      </c>
      <c r="AD10" s="23">
        <f>_xlfn.MAXIFS(创新与实践素质!L:L,创新与实践素质!B:B,B10,创新与实践素质!D:D,"=社会工作能力（工作表现）",创新与实践素质!G:G,"=上学期")+_xlfn.MAXIFS(创新与实践素质!L:L,创新与实践素质!B:B,B10,创新与实践素质!D:D,"=社会工作能力（工作表现）",创新与实践素质!G:G,"=下学期")</f>
        <v>0.8</v>
      </c>
      <c r="AE10" s="23">
        <f t="shared" si="7"/>
        <v>5.55</v>
      </c>
      <c r="AF10" s="23">
        <f t="shared" si="8"/>
        <v>76.825</v>
      </c>
    </row>
    <row r="11" spans="1:32">
      <c r="A11" s="4" t="s">
        <v>6</v>
      </c>
      <c r="B11" s="32" t="s">
        <v>14</v>
      </c>
      <c r="C11" s="4"/>
      <c r="D11" s="23">
        <f>SUMIFS(德育素质!H:H,德育素质!B:B,B11,德育素质!D:D,"=基本评定分")</f>
        <v>5.28</v>
      </c>
      <c r="E11" s="23">
        <f>MIN(2,SUMIFS(德育素质!H:H,德育素质!A:A,A11,德育素质!D:D,"=集体评定等级分",德育素质!E:E,"=班级考评等级")+SUMIFS(德育素质!H:H,德育素质!B:B,B11,德育素质!D:D,"=集体评定等级分"))</f>
        <v>2</v>
      </c>
      <c r="F11" s="23">
        <f>MIN(2,SUMIFS(德育素质!H:H,德育素质!B:B,B11,德育素质!D:D,"=社会责任记实分"))</f>
        <v>0</v>
      </c>
      <c r="G11" s="5">
        <f>SUMIFS(德育素质!H:H,德育素质!B:B,B11,德育素质!D:D,"=违纪违规扣分")</f>
        <v>0</v>
      </c>
      <c r="H11" s="5">
        <f>SUMIFS(德育素质!H:H,德育素质!B:B,B11,德育素质!D:D,"=荣誉称号加分")</f>
        <v>0</v>
      </c>
      <c r="I11" s="5">
        <f t="shared" si="0"/>
        <v>2</v>
      </c>
      <c r="J11" s="23">
        <f t="shared" si="1"/>
        <v>7.28</v>
      </c>
      <c r="K11" s="23">
        <f>(VLOOKUP(B11,智育素质!B:D,3,0)*10+50)*0.6</f>
        <v>51.672</v>
      </c>
      <c r="L11" s="23">
        <f>SUMIFS(体育素质!J:J,体育素质!B:B,B11,体育素质!D:D,"=体育课程成绩",体育素质!E:E,"=体育成绩")/40</f>
        <v>2.85</v>
      </c>
      <c r="M11" s="23">
        <f>SUMIFS(体育素质!L:L,体育素质!B:B,B11,体育素质!D:D,"=校内外体育竞赛")</f>
        <v>0</v>
      </c>
      <c r="N11" s="23">
        <f>SUMIFS(体育素质!L:L,体育素质!B:B,B11,体育素质!D:D,"=校内外体育活动",体育素质!E:E,"=早锻炼")</f>
        <v>0.2</v>
      </c>
      <c r="O11" s="23">
        <f>SUMIFS(体育素质!L:L,体育素质!B:B,B11,体育素质!D:D,"=校内外体育活动",体育素质!E:E,"=校园跑")</f>
        <v>0.14375</v>
      </c>
      <c r="P11" s="23">
        <f t="shared" si="2"/>
        <v>0.34375</v>
      </c>
      <c r="Q11" s="23">
        <f t="shared" si="3"/>
        <v>3.19375</v>
      </c>
      <c r="R11" s="23">
        <f>MIN(0.5,SUMIFS(美育素质!L:L,美育素质!B:B,B11,美育素质!D:D,"=文化艺术实践"))</f>
        <v>0</v>
      </c>
      <c r="S11" s="23">
        <f>SUMIFS(美育素质!L:L,美育素质!B:B,B11,美育素质!D:D,"=校内外文化艺术竞赛")</f>
        <v>0</v>
      </c>
      <c r="T11" s="23">
        <f t="shared" si="4"/>
        <v>0</v>
      </c>
      <c r="U11" s="23">
        <f>MAX(0,SUMIFS(劳育素质!K:K,劳育素质!B:B,B11,劳育素质!D:D,"=劳动日常考核基础分")+SUMIFS(劳育素质!K:K,劳育素质!B:B,B11,劳育素质!D:D,"=活动与卫生加减分"))</f>
        <v>1.54966666666667</v>
      </c>
      <c r="V11" s="23">
        <f>SUMIFS(劳育素质!K:K,劳育素质!B:B,B11,劳育素质!D:D,"=志愿服务",劳育素质!F:F,"=A类+B类")</f>
        <v>0</v>
      </c>
      <c r="W11" s="23">
        <f>SUMIFS(劳育素质!K:K,劳育素质!B:B,B11,劳育素质!D:D,"=志愿服务",劳育素质!F:F,"=C类")</f>
        <v>0</v>
      </c>
      <c r="X11" s="23">
        <f t="shared" si="5"/>
        <v>0</v>
      </c>
      <c r="Y11" s="23">
        <f>SUMIFS(劳育素质!K:K,劳育素质!B:B,B11,劳育素质!D:D,"=实习实训")</f>
        <v>0</v>
      </c>
      <c r="Z11" s="23">
        <f t="shared" si="6"/>
        <v>1.54966666666667</v>
      </c>
      <c r="AA11" s="23">
        <f>SUMIFS(创新与实践素质!L:L,创新与实践素质!B:B,B11,创新与实践素质!D:D,"=创新创业素质")</f>
        <v>0</v>
      </c>
      <c r="AB11" s="23">
        <f>SUMIFS(创新与实践素质!L:L,创新与实践素质!B:B,B11,创新与实践素质!D:D,"=水平考试")</f>
        <v>0</v>
      </c>
      <c r="AC11" s="23">
        <f>SUMIFS(创新与实践素质!L:L,创新与实践素质!B:B,B11,创新与实践素质!D:D,"=社会实践")</f>
        <v>0</v>
      </c>
      <c r="AD11" s="23">
        <f>_xlfn.MAXIFS(创新与实践素质!L:L,创新与实践素质!B:B,B11,创新与实践素质!D:D,"=社会工作能力（工作表现）",创新与实践素质!G:G,"=上学期")+_xlfn.MAXIFS(创新与实践素质!L:L,创新与实践素质!B:B,B11,创新与实践素质!D:D,"=社会工作能力（工作表现）",创新与实践素质!G:G,"=下学期")</f>
        <v>0</v>
      </c>
      <c r="AE11" s="23">
        <f t="shared" si="7"/>
        <v>0</v>
      </c>
      <c r="AF11" s="23">
        <f t="shared" si="8"/>
        <v>63.6954166666667</v>
      </c>
    </row>
    <row r="12" spans="1:32">
      <c r="A12" s="4" t="s">
        <v>6</v>
      </c>
      <c r="B12" s="32" t="s">
        <v>15</v>
      </c>
      <c r="C12" s="4"/>
      <c r="D12" s="23">
        <f>SUMIFS(德育素质!H:H,德育素质!B:B,B12,德育素质!D:D,"=基本评定分")</f>
        <v>6</v>
      </c>
      <c r="E12" s="23">
        <f>MIN(2,SUMIFS(德育素质!H:H,德育素质!A:A,A12,德育素质!D:D,"=集体评定等级分",德育素质!E:E,"=班级考评等级")+SUMIFS(德育素质!H:H,德育素质!B:B,B12,德育素质!D:D,"=集体评定等级分"))</f>
        <v>2</v>
      </c>
      <c r="F12" s="23">
        <f>MIN(2,SUMIFS(德育素质!H:H,德育素质!B:B,B12,德育素质!D:D,"=社会责任记实分"))</f>
        <v>0.2</v>
      </c>
      <c r="G12" s="5">
        <f>SUMIFS(德育素质!H:H,德育素质!B:B,B12,德育素质!D:D,"=违纪违规扣分")</f>
        <v>0</v>
      </c>
      <c r="H12" s="5">
        <f>SUMIFS(德育素质!H:H,德育素质!B:B,B12,德育素质!D:D,"=荣誉称号加分")</f>
        <v>1</v>
      </c>
      <c r="I12" s="5">
        <f t="shared" si="0"/>
        <v>3.2</v>
      </c>
      <c r="J12" s="23">
        <f t="shared" si="1"/>
        <v>9.2</v>
      </c>
      <c r="K12" s="23">
        <f>(VLOOKUP(B12,智育素质!B:D,3,0)*10+50)*0.6</f>
        <v>54.06</v>
      </c>
      <c r="L12" s="23">
        <f>SUMIFS(体育素质!J:J,体育素质!B:B,B12,体育素质!D:D,"=体育课程成绩",体育素质!E:E,"=体育成绩")/40</f>
        <v>3.55</v>
      </c>
      <c r="M12" s="23">
        <f>SUMIFS(体育素质!L:L,体育素质!B:B,B12,体育素质!D:D,"=校内外体育竞赛")</f>
        <v>0</v>
      </c>
      <c r="N12" s="23">
        <f>SUMIFS(体育素质!L:L,体育素质!B:B,B12,体育素质!D:D,"=校内外体育活动",体育素质!E:E,"=早锻炼")</f>
        <v>0.2</v>
      </c>
      <c r="O12" s="23">
        <f>SUMIFS(体育素质!L:L,体育素质!B:B,B12,体育素质!D:D,"=校内外体育活动",体育素质!E:E,"=校园跑")</f>
        <v>0.279</v>
      </c>
      <c r="P12" s="23">
        <f t="shared" si="2"/>
        <v>0.479</v>
      </c>
      <c r="Q12" s="23">
        <f t="shared" si="3"/>
        <v>4.029</v>
      </c>
      <c r="R12" s="23">
        <f>MIN(0.5,SUMIFS(美育素质!L:L,美育素质!B:B,B12,美育素质!D:D,"=文化艺术实践"))</f>
        <v>0</v>
      </c>
      <c r="S12" s="23">
        <f>SUMIFS(美育素质!L:L,美育素质!B:B,B12,美育素质!D:D,"=校内外文化艺术竞赛")</f>
        <v>0</v>
      </c>
      <c r="T12" s="23">
        <f t="shared" si="4"/>
        <v>0</v>
      </c>
      <c r="U12" s="23">
        <f>MAX(0,SUMIFS(劳育素质!K:K,劳育素质!B:B,B12,劳育素质!D:D,"=劳动日常考核基础分")+SUMIFS(劳育素质!K:K,劳育素质!B:B,B12,劳育素质!D:D,"=活动与卫生加减分"))</f>
        <v>1.546</v>
      </c>
      <c r="V12" s="23">
        <f>SUMIFS(劳育素质!K:K,劳育素质!B:B,B12,劳育素质!D:D,"=志愿服务",劳育素质!F:F,"=A类+B类")</f>
        <v>3</v>
      </c>
      <c r="W12" s="23">
        <f>SUMIFS(劳育素质!K:K,劳育素质!B:B,B12,劳育素质!D:D,"=志愿服务",劳育素质!F:F,"=C类")</f>
        <v>0</v>
      </c>
      <c r="X12" s="23">
        <f t="shared" si="5"/>
        <v>3</v>
      </c>
      <c r="Y12" s="23">
        <f>SUMIFS(劳育素质!K:K,劳育素质!B:B,B12,劳育素质!D:D,"=实习实训")</f>
        <v>0</v>
      </c>
      <c r="Z12" s="23">
        <f t="shared" si="6"/>
        <v>4.546</v>
      </c>
      <c r="AA12" s="23">
        <f>SUMIFS(创新与实践素质!L:L,创新与实践素质!B:B,B12,创新与实践素质!D:D,"=创新创业素质")</f>
        <v>3.9</v>
      </c>
      <c r="AB12" s="23">
        <f>SUMIFS(创新与实践素质!L:L,创新与实践素质!B:B,B12,创新与实践素质!D:D,"=水平考试")</f>
        <v>0</v>
      </c>
      <c r="AC12" s="23">
        <f>SUMIFS(创新与实践素质!L:L,创新与实践素质!B:B,B12,创新与实践素质!D:D,"=社会实践")</f>
        <v>0.175</v>
      </c>
      <c r="AD12" s="23">
        <f>_xlfn.MAXIFS(创新与实践素质!L:L,创新与实践素质!B:B,B12,创新与实践素质!D:D,"=社会工作能力（工作表现）",创新与实践素质!G:G,"=上学期")+_xlfn.MAXIFS(创新与实践素质!L:L,创新与实践素质!B:B,B12,创新与实践素质!D:D,"=社会工作能力（工作表现）",创新与实践素质!G:G,"=下学期")</f>
        <v>1.6</v>
      </c>
      <c r="AE12" s="23">
        <f t="shared" si="7"/>
        <v>5.675</v>
      </c>
      <c r="AF12" s="23">
        <f t="shared" si="8"/>
        <v>77.51</v>
      </c>
    </row>
    <row r="13" spans="1:32">
      <c r="A13" s="4" t="s">
        <v>6</v>
      </c>
      <c r="B13" s="32" t="s">
        <v>16</v>
      </c>
      <c r="C13" s="4"/>
      <c r="D13" s="23">
        <f>SUMIFS(德育素质!H:H,德育素质!B:B,B13,德育素质!D:D,"=基本评定分")</f>
        <v>5.28</v>
      </c>
      <c r="E13" s="23">
        <f>MIN(2,SUMIFS(德育素质!H:H,德育素质!A:A,A13,德育素质!D:D,"=集体评定等级分",德育素质!E:E,"=班级考评等级")+SUMIFS(德育素质!H:H,德育素质!B:B,B13,德育素质!D:D,"=集体评定等级分"))</f>
        <v>2</v>
      </c>
      <c r="F13" s="23">
        <f>MIN(2,SUMIFS(德育素质!H:H,德育素质!B:B,B13,德育素质!D:D,"=社会责任记实分"))</f>
        <v>0</v>
      </c>
      <c r="G13" s="5">
        <f>SUMIFS(德育素质!H:H,德育素质!B:B,B13,德育素质!D:D,"=违纪违规扣分")</f>
        <v>0</v>
      </c>
      <c r="H13" s="5">
        <f>SUMIFS(德育素质!H:H,德育素质!B:B,B13,德育素质!D:D,"=荣誉称号加分")</f>
        <v>0</v>
      </c>
      <c r="I13" s="5">
        <f t="shared" si="0"/>
        <v>2</v>
      </c>
      <c r="J13" s="23">
        <f t="shared" si="1"/>
        <v>7.28</v>
      </c>
      <c r="K13" s="23">
        <f>(VLOOKUP(B13,智育素质!B:D,3,0)*10+50)*0.6</f>
        <v>38.706</v>
      </c>
      <c r="L13" s="23">
        <f>SUMIFS(体育素质!J:J,体育素质!B:B,B13,体育素质!D:D,"=体育课程成绩",体育素质!E:E,"=体育成绩")/40</f>
        <v>2.725</v>
      </c>
      <c r="M13" s="23">
        <f>SUMIFS(体育素质!L:L,体育素质!B:B,B13,体育素质!D:D,"=校内外体育竞赛")</f>
        <v>0</v>
      </c>
      <c r="N13" s="23">
        <f>SUMIFS(体育素质!L:L,体育素质!B:B,B13,体育素质!D:D,"=校内外体育活动",体育素质!E:E,"=早锻炼")</f>
        <v>0</v>
      </c>
      <c r="O13" s="23">
        <f>SUMIFS(体育素质!L:L,体育素质!B:B,B13,体育素质!D:D,"=校内外体育活动",体育素质!E:E,"=校园跑")</f>
        <v>0.2</v>
      </c>
      <c r="P13" s="23">
        <f t="shared" si="2"/>
        <v>0.2</v>
      </c>
      <c r="Q13" s="23">
        <f t="shared" si="3"/>
        <v>2.925</v>
      </c>
      <c r="R13" s="23">
        <f>MIN(0.5,SUMIFS(美育素质!L:L,美育素质!B:B,B13,美育素质!D:D,"=文化艺术实践"))</f>
        <v>0</v>
      </c>
      <c r="S13" s="23">
        <f>SUMIFS(美育素质!L:L,美育素质!B:B,B13,美育素质!D:D,"=校内外文化艺术竞赛")</f>
        <v>0</v>
      </c>
      <c r="T13" s="23">
        <f t="shared" si="4"/>
        <v>0</v>
      </c>
      <c r="U13" s="23">
        <f>MAX(0,SUMIFS(劳育素质!K:K,劳育素质!B:B,B13,劳育素质!D:D,"=劳动日常考核基础分")+SUMIFS(劳育素质!K:K,劳育素质!B:B,B13,劳育素质!D:D,"=活动与卫生加减分"))</f>
        <v>1.54966666666667</v>
      </c>
      <c r="V13" s="23">
        <f>SUMIFS(劳育素质!K:K,劳育素质!B:B,B13,劳育素质!D:D,"=志愿服务",劳育素质!F:F,"=A类+B类")</f>
        <v>0</v>
      </c>
      <c r="W13" s="23">
        <f>SUMIFS(劳育素质!K:K,劳育素质!B:B,B13,劳育素质!D:D,"=志愿服务",劳育素质!F:F,"=C类")</f>
        <v>0</v>
      </c>
      <c r="X13" s="23">
        <f t="shared" si="5"/>
        <v>0</v>
      </c>
      <c r="Y13" s="23">
        <f>SUMIFS(劳育素质!K:K,劳育素质!B:B,B13,劳育素质!D:D,"=实习实训")</f>
        <v>0</v>
      </c>
      <c r="Z13" s="23">
        <f t="shared" si="6"/>
        <v>1.54966666666667</v>
      </c>
      <c r="AA13" s="23">
        <f>SUMIFS(创新与实践素质!L:L,创新与实践素质!B:B,B13,创新与实践素质!D:D,"=创新创业素质")</f>
        <v>0</v>
      </c>
      <c r="AB13" s="23">
        <f>SUMIFS(创新与实践素质!L:L,创新与实践素质!B:B,B13,创新与实践素质!D:D,"=水平考试")</f>
        <v>0</v>
      </c>
      <c r="AC13" s="23">
        <f>SUMIFS(创新与实践素质!L:L,创新与实践素质!B:B,B13,创新与实践素质!D:D,"=社会实践")</f>
        <v>0</v>
      </c>
      <c r="AD13" s="23">
        <f>_xlfn.MAXIFS(创新与实践素质!L:L,创新与实践素质!B:B,B13,创新与实践素质!D:D,"=社会工作能力（工作表现）",创新与实践素质!G:G,"=上学期")+_xlfn.MAXIFS(创新与实践素质!L:L,创新与实践素质!B:B,B13,创新与实践素质!D:D,"=社会工作能力（工作表现）",创新与实践素质!G:G,"=下学期")</f>
        <v>0</v>
      </c>
      <c r="AE13" s="23">
        <f t="shared" si="7"/>
        <v>0</v>
      </c>
      <c r="AF13" s="23">
        <f t="shared" si="8"/>
        <v>50.4606666666667</v>
      </c>
    </row>
    <row r="14" spans="1:32">
      <c r="A14" s="4" t="s">
        <v>6</v>
      </c>
      <c r="B14" s="32" t="s">
        <v>17</v>
      </c>
      <c r="C14" s="4"/>
      <c r="D14" s="23">
        <f>SUMIFS(德育素质!H:H,德育素质!B:B,B14,德育素质!D:D,"=基本评定分")</f>
        <v>5.28</v>
      </c>
      <c r="E14" s="23">
        <f>MIN(2,SUMIFS(德育素质!H:H,德育素质!A:A,A14,德育素质!D:D,"=集体评定等级分",德育素质!E:E,"=班级考评等级")+SUMIFS(德育素质!H:H,德育素质!B:B,B14,德育素质!D:D,"=集体评定等级分"))</f>
        <v>2</v>
      </c>
      <c r="F14" s="23">
        <f>MIN(2,SUMIFS(德育素质!H:H,德育素质!B:B,B14,德育素质!D:D,"=社会责任记实分"))</f>
        <v>0</v>
      </c>
      <c r="G14" s="5">
        <f>SUMIFS(德育素质!H:H,德育素质!B:B,B14,德育素质!D:D,"=违纪违规扣分")</f>
        <v>0</v>
      </c>
      <c r="H14" s="5">
        <f>SUMIFS(德育素质!H:H,德育素质!B:B,B14,德育素质!D:D,"=荣誉称号加分")</f>
        <v>0</v>
      </c>
      <c r="I14" s="5">
        <f t="shared" si="0"/>
        <v>2</v>
      </c>
      <c r="J14" s="23">
        <f t="shared" si="1"/>
        <v>7.28</v>
      </c>
      <c r="K14" s="23">
        <f>(VLOOKUP(B14,智育素质!B:D,3,0)*10+50)*0.6</f>
        <v>54.666</v>
      </c>
      <c r="L14" s="23">
        <f>SUMIFS(体育素质!J:J,体育素质!B:B,B14,体育素质!D:D,"=体育课程成绩",体育素质!E:E,"=体育成绩")/40</f>
        <v>4.25</v>
      </c>
      <c r="M14" s="23">
        <f>SUMIFS(体育素质!L:L,体育素质!B:B,B14,体育素质!D:D,"=校内外体育竞赛")</f>
        <v>0</v>
      </c>
      <c r="N14" s="23">
        <f>SUMIFS(体育素质!L:L,体育素质!B:B,B14,体育素质!D:D,"=校内外体育活动",体育素质!E:E,"=早锻炼")</f>
        <v>0.2</v>
      </c>
      <c r="O14" s="23">
        <f>SUMIFS(体育素质!L:L,体育素质!B:B,B14,体育素质!D:D,"=校内外体育活动",体育素质!E:E,"=校园跑")</f>
        <v>0.262708333333333</v>
      </c>
      <c r="P14" s="23">
        <f t="shared" si="2"/>
        <v>0.462708333333333</v>
      </c>
      <c r="Q14" s="23">
        <f t="shared" si="3"/>
        <v>4.71270833333333</v>
      </c>
      <c r="R14" s="23">
        <f>MIN(0.5,SUMIFS(美育素质!L:L,美育素质!B:B,B14,美育素质!D:D,"=文化艺术实践"))</f>
        <v>0</v>
      </c>
      <c r="S14" s="23">
        <f>SUMIFS(美育素质!L:L,美育素质!B:B,B14,美育素质!D:D,"=校内外文化艺术竞赛")</f>
        <v>0</v>
      </c>
      <c r="T14" s="23">
        <f t="shared" si="4"/>
        <v>0</v>
      </c>
      <c r="U14" s="23">
        <f>MAX(0,SUMIFS(劳育素质!K:K,劳育素质!B:B,B14,劳育素质!D:D,"=劳动日常考核基础分")+SUMIFS(劳育素质!K:K,劳育素质!B:B,B14,劳育素质!D:D,"=活动与卫生加减分"))</f>
        <v>1.546</v>
      </c>
      <c r="V14" s="23">
        <f>SUMIFS(劳育素质!K:K,劳育素质!B:B,B14,劳育素质!D:D,"=志愿服务",劳育素质!F:F,"=A类+B类")</f>
        <v>0</v>
      </c>
      <c r="W14" s="23">
        <f>SUMIFS(劳育素质!K:K,劳育素质!B:B,B14,劳育素质!D:D,"=志愿服务",劳育素质!F:F,"=C类")</f>
        <v>0</v>
      </c>
      <c r="X14" s="23">
        <f t="shared" si="5"/>
        <v>0</v>
      </c>
      <c r="Y14" s="23">
        <f>SUMIFS(劳育素质!K:K,劳育素质!B:B,B14,劳育素质!D:D,"=实习实训")</f>
        <v>0</v>
      </c>
      <c r="Z14" s="23">
        <f t="shared" si="6"/>
        <v>1.546</v>
      </c>
      <c r="AA14" s="23">
        <f>SUMIFS(创新与实践素质!L:L,创新与实践素质!B:B,B14,创新与实践素质!D:D,"=创新创业素质")</f>
        <v>0</v>
      </c>
      <c r="AB14" s="23">
        <f>SUMIFS(创新与实践素质!L:L,创新与实践素质!B:B,B14,创新与实践素质!D:D,"=水平考试")</f>
        <v>0</v>
      </c>
      <c r="AC14" s="23">
        <f>SUMIFS(创新与实践素质!L:L,创新与实践素质!B:B,B14,创新与实践素质!D:D,"=社会实践")</f>
        <v>0</v>
      </c>
      <c r="AD14" s="23">
        <f>_xlfn.MAXIFS(创新与实践素质!L:L,创新与实践素质!B:B,B14,创新与实践素质!D:D,"=社会工作能力（工作表现）",创新与实践素质!G:G,"=上学期")+_xlfn.MAXIFS(创新与实践素质!L:L,创新与实践素质!B:B,B14,创新与实践素质!D:D,"=社会工作能力（工作表现）",创新与实践素质!G:G,"=下学期")</f>
        <v>0</v>
      </c>
      <c r="AE14" s="23">
        <f t="shared" si="7"/>
        <v>0</v>
      </c>
      <c r="AF14" s="23">
        <f t="shared" si="8"/>
        <v>68.2047083333333</v>
      </c>
    </row>
    <row r="15" spans="1:32">
      <c r="A15" s="4" t="s">
        <v>6</v>
      </c>
      <c r="B15" s="32" t="s">
        <v>18</v>
      </c>
      <c r="C15" s="4"/>
      <c r="D15" s="23">
        <f>SUMIFS(德育素质!H:H,德育素质!B:B,B15,德育素质!D:D,"=基本评定分")</f>
        <v>5.28</v>
      </c>
      <c r="E15" s="23">
        <f>MIN(2,SUMIFS(德育素质!H:H,德育素质!A:A,A15,德育素质!D:D,"=集体评定等级分",德育素质!E:E,"=班级考评等级")+SUMIFS(德育素质!H:H,德育素质!B:B,B15,德育素质!D:D,"=集体评定等级分"))</f>
        <v>2</v>
      </c>
      <c r="F15" s="23">
        <f>MIN(2,SUMIFS(德育素质!H:H,德育素质!B:B,B15,德育素质!D:D,"=社会责任记实分"))</f>
        <v>0</v>
      </c>
      <c r="G15" s="5">
        <f>SUMIFS(德育素质!H:H,德育素质!B:B,B15,德育素质!D:D,"=违纪违规扣分")</f>
        <v>-0.02</v>
      </c>
      <c r="H15" s="5">
        <f>SUMIFS(德育素质!H:H,德育素质!B:B,B15,德育素质!D:D,"=荣誉称号加分")</f>
        <v>0</v>
      </c>
      <c r="I15" s="5">
        <f t="shared" si="0"/>
        <v>1.98</v>
      </c>
      <c r="J15" s="23">
        <f t="shared" si="1"/>
        <v>7.26</v>
      </c>
      <c r="K15" s="23">
        <f>(VLOOKUP(B15,智育素质!B:D,3,0)*10+50)*0.6</f>
        <v>49.77</v>
      </c>
      <c r="L15" s="23">
        <f>SUMIFS(体育素质!J:J,体育素质!B:B,B15,体育素质!D:D,"=体育课程成绩",体育素质!E:E,"=体育成绩")/40</f>
        <v>3.25</v>
      </c>
      <c r="M15" s="23">
        <f>SUMIFS(体育素质!L:L,体育素质!B:B,B15,体育素质!D:D,"=校内外体育竞赛")</f>
        <v>0</v>
      </c>
      <c r="N15" s="23">
        <f>SUMIFS(体育素质!L:L,体育素质!B:B,B15,体育素质!D:D,"=校内外体育活动",体育素质!E:E,"=早锻炼")</f>
        <v>0.17</v>
      </c>
      <c r="O15" s="23">
        <f>SUMIFS(体育素质!L:L,体育素质!B:B,B15,体育素质!D:D,"=校内外体育活动",体育素质!E:E,"=校园跑")</f>
        <v>0</v>
      </c>
      <c r="P15" s="23">
        <f t="shared" si="2"/>
        <v>0.17</v>
      </c>
      <c r="Q15" s="23">
        <f t="shared" si="3"/>
        <v>3.42</v>
      </c>
      <c r="R15" s="23">
        <f>MIN(0.5,SUMIFS(美育素质!L:L,美育素质!B:B,B15,美育素质!D:D,"=文化艺术实践"))</f>
        <v>0</v>
      </c>
      <c r="S15" s="23">
        <f>SUMIFS(美育素质!L:L,美育素质!B:B,B15,美育素质!D:D,"=校内外文化艺术竞赛")</f>
        <v>0</v>
      </c>
      <c r="T15" s="23">
        <f t="shared" si="4"/>
        <v>0</v>
      </c>
      <c r="U15" s="23">
        <f>MAX(0,SUMIFS(劳育素质!K:K,劳育素质!B:B,B15,劳育素质!D:D,"=劳动日常考核基础分")+SUMIFS(劳育素质!K:K,劳育素质!B:B,B15,劳育素质!D:D,"=活动与卫生加减分"))</f>
        <v>1.55566666666667</v>
      </c>
      <c r="V15" s="23">
        <f>SUMIFS(劳育素质!K:K,劳育素质!B:B,B15,劳育素质!D:D,"=志愿服务",劳育素质!F:F,"=A类+B类")</f>
        <v>2</v>
      </c>
      <c r="W15" s="23">
        <f>SUMIFS(劳育素质!K:K,劳育素质!B:B,B15,劳育素质!D:D,"=志愿服务",劳育素质!F:F,"=C类")</f>
        <v>0</v>
      </c>
      <c r="X15" s="23">
        <f t="shared" si="5"/>
        <v>2</v>
      </c>
      <c r="Y15" s="23">
        <f>SUMIFS(劳育素质!K:K,劳育素质!B:B,B15,劳育素质!D:D,"=实习实训")</f>
        <v>0</v>
      </c>
      <c r="Z15" s="23">
        <f t="shared" si="6"/>
        <v>3.55566666666667</v>
      </c>
      <c r="AA15" s="23">
        <f>SUMIFS(创新与实践素质!L:L,创新与实践素质!B:B,B15,创新与实践素质!D:D,"=创新创业素质")</f>
        <v>0</v>
      </c>
      <c r="AB15" s="23">
        <f>SUMIFS(创新与实践素质!L:L,创新与实践素质!B:B,B15,创新与实践素质!D:D,"=水平考试")</f>
        <v>0</v>
      </c>
      <c r="AC15" s="23">
        <f>SUMIFS(创新与实践素质!L:L,创新与实践素质!B:B,B15,创新与实践素质!D:D,"=社会实践")</f>
        <v>0</v>
      </c>
      <c r="AD15" s="23">
        <f>_xlfn.MAXIFS(创新与实践素质!L:L,创新与实践素质!B:B,B15,创新与实践素质!D:D,"=社会工作能力（工作表现）",创新与实践素质!G:G,"=上学期")+_xlfn.MAXIFS(创新与实践素质!L:L,创新与实践素质!B:B,B15,创新与实践素质!D:D,"=社会工作能力（工作表现）",创新与实践素质!G:G,"=下学期")</f>
        <v>0</v>
      </c>
      <c r="AE15" s="23">
        <f t="shared" si="7"/>
        <v>0</v>
      </c>
      <c r="AF15" s="23">
        <f t="shared" si="8"/>
        <v>64.0056666666667</v>
      </c>
    </row>
    <row r="16" spans="1:32">
      <c r="A16" s="4" t="s">
        <v>6</v>
      </c>
      <c r="B16" s="32" t="s">
        <v>19</v>
      </c>
      <c r="C16" s="4"/>
      <c r="D16" s="23">
        <f>SUMIFS(德育素质!H:H,德育素质!B:B,B16,德育素质!D:D,"=基本评定分")</f>
        <v>6</v>
      </c>
      <c r="E16" s="23">
        <f>MIN(2,SUMIFS(德育素质!H:H,德育素质!A:A,A16,德育素质!D:D,"=集体评定等级分",德育素质!E:E,"=班级考评等级")+SUMIFS(德育素质!H:H,德育素质!B:B,B16,德育素质!D:D,"=集体评定等级分"))</f>
        <v>2</v>
      </c>
      <c r="F16" s="23">
        <f>MIN(2,SUMIFS(德育素质!H:H,德育素质!B:B,B16,德育素质!D:D,"=社会责任记实分"))</f>
        <v>0.4</v>
      </c>
      <c r="G16" s="5">
        <f>SUMIFS(德育素质!H:H,德育素质!B:B,B16,德育素质!D:D,"=违纪违规扣分")</f>
        <v>0</v>
      </c>
      <c r="H16" s="5">
        <f>SUMIFS(德育素质!H:H,德育素质!B:B,B16,德育素质!D:D,"=荣誉称号加分")</f>
        <v>1</v>
      </c>
      <c r="I16" s="5">
        <f t="shared" si="0"/>
        <v>3.4</v>
      </c>
      <c r="J16" s="23">
        <f t="shared" si="1"/>
        <v>9.4</v>
      </c>
      <c r="K16" s="23">
        <f>(VLOOKUP(B16,智育素质!B:D,3,0)*10+50)*0.6</f>
        <v>55.704</v>
      </c>
      <c r="L16" s="23">
        <f>SUMIFS(体育素质!J:J,体育素质!B:B,B16,体育素质!D:D,"=体育课程成绩",体育素质!E:E,"=体育成绩")/40</f>
        <v>4.55</v>
      </c>
      <c r="M16" s="23">
        <f>SUMIFS(体育素质!L:L,体育素质!B:B,B16,体育素质!D:D,"=校内外体育竞赛")</f>
        <v>1</v>
      </c>
      <c r="N16" s="23">
        <f>SUMIFS(体育素质!L:L,体育素质!B:B,B16,体育素质!D:D,"=校内外体育活动",体育素质!E:E,"=早锻炼")</f>
        <v>0.2</v>
      </c>
      <c r="O16" s="23">
        <f>SUMIFS(体育素质!L:L,体育素质!B:B,B16,体育素质!D:D,"=校内外体育活动",体育素质!E:E,"=校园跑")</f>
        <v>0.6</v>
      </c>
      <c r="P16" s="23">
        <f t="shared" si="2"/>
        <v>1.8</v>
      </c>
      <c r="Q16" s="23">
        <f t="shared" si="3"/>
        <v>6.35</v>
      </c>
      <c r="R16" s="23">
        <f>MIN(0.5,SUMIFS(美育素质!L:L,美育素质!B:B,B16,美育素质!D:D,"=文化艺术实践"))</f>
        <v>0.25</v>
      </c>
      <c r="S16" s="23">
        <f>SUMIFS(美育素质!L:L,美育素质!B:B,B16,美育素质!D:D,"=校内外文化艺术竞赛")</f>
        <v>0.8</v>
      </c>
      <c r="T16" s="23">
        <f t="shared" si="4"/>
        <v>1.05</v>
      </c>
      <c r="U16" s="23">
        <f>MAX(0,SUMIFS(劳育素质!K:K,劳育素质!B:B,B16,劳育素质!D:D,"=劳动日常考核基础分")+SUMIFS(劳育素质!K:K,劳育素质!B:B,B16,劳育素质!D:D,"=活动与卫生加减分"))</f>
        <v>2.63423333333333</v>
      </c>
      <c r="V16" s="23">
        <f>SUMIFS(劳育素质!K:K,劳育素质!B:B,B16,劳育素质!D:D,"=志愿服务",劳育素质!F:F,"=A类+B类")</f>
        <v>3</v>
      </c>
      <c r="W16" s="23">
        <f>SUMIFS(劳育素质!K:K,劳育素质!B:B,B16,劳育素质!D:D,"=志愿服务",劳育素质!F:F,"=C类")</f>
        <v>0</v>
      </c>
      <c r="X16" s="23">
        <f t="shared" si="5"/>
        <v>3</v>
      </c>
      <c r="Y16" s="23">
        <f>SUMIFS(劳育素质!K:K,劳育素质!B:B,B16,劳育素质!D:D,"=实习实训")</f>
        <v>0</v>
      </c>
      <c r="Z16" s="23">
        <f t="shared" si="6"/>
        <v>5</v>
      </c>
      <c r="AA16" s="23">
        <f>SUMIFS(创新与实践素质!L:L,创新与实践素质!B:B,B16,创新与实践素质!D:D,"=创新创业素质")</f>
        <v>4.35</v>
      </c>
      <c r="AB16" s="23">
        <f>SUMIFS(创新与实践素质!L:L,创新与实践素质!B:B,B16,创新与实践素质!D:D,"=水平考试")</f>
        <v>2.75</v>
      </c>
      <c r="AC16" s="23">
        <f>SUMIFS(创新与实践素质!L:L,创新与实践素质!B:B,B16,创新与实践素质!D:D,"=社会实践")</f>
        <v>0.1</v>
      </c>
      <c r="AD16" s="23">
        <f>_xlfn.MAXIFS(创新与实践素质!L:L,创新与实践素质!B:B,B16,创新与实践素质!D:D,"=社会工作能力（工作表现）",创新与实践素质!G:G,"=上学期")+_xlfn.MAXIFS(创新与实践素质!L:L,创新与实践素质!B:B,B16,创新与实践素质!D:D,"=社会工作能力（工作表现）",创新与实践素质!G:G,"=下学期")</f>
        <v>1.4</v>
      </c>
      <c r="AE16" s="23">
        <f t="shared" si="7"/>
        <v>8.6</v>
      </c>
      <c r="AF16" s="23">
        <f t="shared" si="8"/>
        <v>86.104</v>
      </c>
    </row>
    <row r="17" spans="1:32">
      <c r="A17" s="4" t="s">
        <v>6</v>
      </c>
      <c r="B17" s="32" t="s">
        <v>20</v>
      </c>
      <c r="C17" s="4"/>
      <c r="D17" s="23">
        <f>SUMIFS(德育素质!H:H,德育素质!B:B,B17,德育素质!D:D,"=基本评定分")</f>
        <v>6</v>
      </c>
      <c r="E17" s="23">
        <f>MIN(2,SUMIFS(德育素质!H:H,德育素质!A:A,A17,德育素质!D:D,"=集体评定等级分",德育素质!E:E,"=班级考评等级")+SUMIFS(德育素质!H:H,德育素质!B:B,B17,德育素质!D:D,"=集体评定等级分"))</f>
        <v>2</v>
      </c>
      <c r="F17" s="23">
        <f>MIN(2,SUMIFS(德育素质!H:H,德育素质!B:B,B17,德育素质!D:D,"=社会责任记实分"))</f>
        <v>0.4</v>
      </c>
      <c r="G17" s="5">
        <f>SUMIFS(德育素质!H:H,德育素质!B:B,B17,德育素质!D:D,"=违纪违规扣分")</f>
        <v>0</v>
      </c>
      <c r="H17" s="5">
        <f>SUMIFS(德育素质!H:H,德育素质!B:B,B17,德育素质!D:D,"=荣誉称号加分")</f>
        <v>1</v>
      </c>
      <c r="I17" s="5">
        <f t="shared" si="0"/>
        <v>3.4</v>
      </c>
      <c r="J17" s="23">
        <f t="shared" si="1"/>
        <v>9.4</v>
      </c>
      <c r="K17" s="23">
        <f>(VLOOKUP(B17,智育素质!B:D,3,0)*10+50)*0.6</f>
        <v>52.584</v>
      </c>
      <c r="L17" s="23">
        <f>SUMIFS(体育素质!J:J,体育素质!B:B,B17,体育素质!D:D,"=体育课程成绩",体育素质!E:E,"=体育成绩")/40</f>
        <v>4.475</v>
      </c>
      <c r="M17" s="23">
        <f>SUMIFS(体育素质!L:L,体育素质!B:B,B17,体育素质!D:D,"=校内外体育竞赛")</f>
        <v>0</v>
      </c>
      <c r="N17" s="23">
        <f>SUMIFS(体育素质!L:L,体育素质!B:B,B17,体育素质!D:D,"=校内外体育活动",体育素质!E:E,"=早锻炼")</f>
        <v>0.2</v>
      </c>
      <c r="O17" s="23">
        <f>SUMIFS(体育素质!L:L,体育素质!B:B,B17,体育素质!D:D,"=校内外体育活动",体育素质!E:E,"=校园跑")</f>
        <v>0.6</v>
      </c>
      <c r="P17" s="23">
        <f t="shared" si="2"/>
        <v>0.8</v>
      </c>
      <c r="Q17" s="23">
        <f t="shared" si="3"/>
        <v>5.275</v>
      </c>
      <c r="R17" s="23">
        <f>MIN(0.5,SUMIFS(美育素质!L:L,美育素质!B:B,B17,美育素质!D:D,"=文化艺术实践"))</f>
        <v>0</v>
      </c>
      <c r="S17" s="23">
        <f>SUMIFS(美育素质!L:L,美育素质!B:B,B17,美育素质!D:D,"=校内外文化艺术竞赛")</f>
        <v>2</v>
      </c>
      <c r="T17" s="23">
        <f t="shared" si="4"/>
        <v>2</v>
      </c>
      <c r="U17" s="23">
        <f>MAX(0,SUMIFS(劳育素质!K:K,劳育素质!B:B,B17,劳育素质!D:D,"=劳动日常考核基础分")+SUMIFS(劳育素质!K:K,劳育素质!B:B,B17,劳育素质!D:D,"=活动与卫生加减分"))</f>
        <v>1.5532</v>
      </c>
      <c r="V17" s="23">
        <f>SUMIFS(劳育素质!K:K,劳育素质!B:B,B17,劳育素质!D:D,"=志愿服务",劳育素质!F:F,"=A类+B类")</f>
        <v>3</v>
      </c>
      <c r="W17" s="23">
        <f>SUMIFS(劳育素质!K:K,劳育素质!B:B,B17,劳育素质!D:D,"=志愿服务",劳育素质!F:F,"=C类")</f>
        <v>0.25</v>
      </c>
      <c r="X17" s="23">
        <f t="shared" si="5"/>
        <v>3.25</v>
      </c>
      <c r="Y17" s="23">
        <f>SUMIFS(劳育素质!K:K,劳育素质!B:B,B17,劳育素质!D:D,"=实习实训")</f>
        <v>0</v>
      </c>
      <c r="Z17" s="23">
        <f t="shared" si="6"/>
        <v>4.8032</v>
      </c>
      <c r="AA17" s="23">
        <f>SUMIFS(创新与实践素质!L:L,创新与实践素质!B:B,B17,创新与实践素质!D:D,"=创新创业素质")</f>
        <v>5.75</v>
      </c>
      <c r="AB17" s="23">
        <f>SUMIFS(创新与实践素质!L:L,创新与实践素质!B:B,B17,创新与实践素质!D:D,"=水平考试")</f>
        <v>1.368</v>
      </c>
      <c r="AC17" s="23">
        <f>SUMIFS(创新与实践素质!L:L,创新与实践素质!B:B,B17,创新与实践素质!D:D,"=社会实践")</f>
        <v>0</v>
      </c>
      <c r="AD17" s="23">
        <f>_xlfn.MAXIFS(创新与实践素质!L:L,创新与实践素质!B:B,B17,创新与实践素质!D:D,"=社会工作能力（工作表现）",创新与实践素质!G:G,"=上学期")+_xlfn.MAXIFS(创新与实践素质!L:L,创新与实践素质!B:B,B17,创新与实践素质!D:D,"=社会工作能力（工作表现）",创新与实践素质!G:G,"=下学期")</f>
        <v>1.4</v>
      </c>
      <c r="AE17" s="23">
        <f t="shared" si="7"/>
        <v>8.518</v>
      </c>
      <c r="AF17" s="23">
        <f t="shared" si="8"/>
        <v>82.5802</v>
      </c>
    </row>
    <row r="18" spans="1:32">
      <c r="A18" s="4" t="s">
        <v>6</v>
      </c>
      <c r="B18" s="32" t="s">
        <v>21</v>
      </c>
      <c r="C18" s="4"/>
      <c r="D18" s="23">
        <f>SUMIFS(德育素质!H:H,德育素质!B:B,B18,德育素质!D:D,"=基本评定分")</f>
        <v>5.28</v>
      </c>
      <c r="E18" s="23">
        <f>MIN(2,SUMIFS(德育素质!H:H,德育素质!A:A,A18,德育素质!D:D,"=集体评定等级分",德育素质!E:E,"=班级考评等级")+SUMIFS(德育素质!H:H,德育素质!B:B,B18,德育素质!D:D,"=集体评定等级分"))</f>
        <v>2</v>
      </c>
      <c r="F18" s="23">
        <f>MIN(2,SUMIFS(德育素质!H:H,德育素质!B:B,B18,德育素质!D:D,"=社会责任记实分"))</f>
        <v>0</v>
      </c>
      <c r="G18" s="5">
        <f>SUMIFS(德育素质!H:H,德育素质!B:B,B18,德育素质!D:D,"=违纪违规扣分")</f>
        <v>0</v>
      </c>
      <c r="H18" s="5">
        <f>SUMIFS(德育素质!H:H,德育素质!B:B,B18,德育素质!D:D,"=荣誉称号加分")</f>
        <v>0</v>
      </c>
      <c r="I18" s="5">
        <f t="shared" si="0"/>
        <v>2</v>
      </c>
      <c r="J18" s="23">
        <f t="shared" si="1"/>
        <v>7.28</v>
      </c>
      <c r="K18" s="23">
        <f>(VLOOKUP(B18,智育素质!B:D,3,0)*10+50)*0.6</f>
        <v>54.402</v>
      </c>
      <c r="L18" s="23">
        <f>SUMIFS(体育素质!J:J,体育素质!B:B,B18,体育素质!D:D,"=体育课程成绩",体育素质!E:E,"=体育成绩")/40</f>
        <v>4.35</v>
      </c>
      <c r="M18" s="23">
        <f>SUMIFS(体育素质!L:L,体育素质!B:B,B18,体育素质!D:D,"=校内外体育竞赛")</f>
        <v>0</v>
      </c>
      <c r="N18" s="23">
        <f>SUMIFS(体育素质!L:L,体育素质!B:B,B18,体育素质!D:D,"=校内外体育活动",体育素质!E:E,"=早锻炼")</f>
        <v>0.1725</v>
      </c>
      <c r="O18" s="23">
        <f>SUMIFS(体育素质!L:L,体育素质!B:B,B18,体育素质!D:D,"=校内外体育活动",体育素质!E:E,"=校园跑")</f>
        <v>0.205041666666667</v>
      </c>
      <c r="P18" s="23">
        <f t="shared" si="2"/>
        <v>0.377541666666667</v>
      </c>
      <c r="Q18" s="23">
        <f t="shared" si="3"/>
        <v>4.72754166666667</v>
      </c>
      <c r="R18" s="23">
        <f>MIN(0.5,SUMIFS(美育素质!L:L,美育素质!B:B,B18,美育素质!D:D,"=文化艺术实践"))</f>
        <v>0</v>
      </c>
      <c r="S18" s="23">
        <f>SUMIFS(美育素质!L:L,美育素质!B:B,B18,美育素质!D:D,"=校内外文化艺术竞赛")</f>
        <v>0</v>
      </c>
      <c r="T18" s="23">
        <f t="shared" si="4"/>
        <v>0</v>
      </c>
      <c r="U18" s="23">
        <f>MAX(0,SUMIFS(劳育素质!K:K,劳育素质!B:B,B18,劳育素质!D:D,"=劳动日常考核基础分")+SUMIFS(劳育素质!K:K,劳育素质!B:B,B18,劳育素质!D:D,"=活动与卫生加减分"))</f>
        <v>1.546</v>
      </c>
      <c r="V18" s="23">
        <f>SUMIFS(劳育素质!K:K,劳育素质!B:B,B18,劳育素质!D:D,"=志愿服务",劳育素质!F:F,"=A类+B类")</f>
        <v>0</v>
      </c>
      <c r="W18" s="23">
        <f>SUMIFS(劳育素质!K:K,劳育素质!B:B,B18,劳育素质!D:D,"=志愿服务",劳育素质!F:F,"=C类")</f>
        <v>0</v>
      </c>
      <c r="X18" s="23">
        <f t="shared" si="5"/>
        <v>0</v>
      </c>
      <c r="Y18" s="23">
        <f>SUMIFS(劳育素质!K:K,劳育素质!B:B,B18,劳育素质!D:D,"=实习实训")</f>
        <v>0</v>
      </c>
      <c r="Z18" s="23">
        <f t="shared" si="6"/>
        <v>1.546</v>
      </c>
      <c r="AA18" s="23">
        <f>SUMIFS(创新与实践素质!L:L,创新与实践素质!B:B,B18,创新与实践素质!D:D,"=创新创业素质")</f>
        <v>0</v>
      </c>
      <c r="AB18" s="23">
        <f>SUMIFS(创新与实践素质!L:L,创新与实践素质!B:B,B18,创新与实践素质!D:D,"=水平考试")</f>
        <v>0</v>
      </c>
      <c r="AC18" s="23">
        <f>SUMIFS(创新与实践素质!L:L,创新与实践素质!B:B,B18,创新与实践素质!D:D,"=社会实践")</f>
        <v>0</v>
      </c>
      <c r="AD18" s="23">
        <f>_xlfn.MAXIFS(创新与实践素质!L:L,创新与实践素质!B:B,B18,创新与实践素质!D:D,"=社会工作能力（工作表现）",创新与实践素质!G:G,"=上学期")+_xlfn.MAXIFS(创新与实践素质!L:L,创新与实践素质!B:B,B18,创新与实践素质!D:D,"=社会工作能力（工作表现）",创新与实践素质!G:G,"=下学期")</f>
        <v>0.45</v>
      </c>
      <c r="AE18" s="23">
        <f t="shared" si="7"/>
        <v>0.45</v>
      </c>
      <c r="AF18" s="23">
        <f t="shared" si="8"/>
        <v>68.4055416666667</v>
      </c>
    </row>
    <row r="19" spans="1:32">
      <c r="A19" s="4" t="s">
        <v>6</v>
      </c>
      <c r="B19" s="32" t="s">
        <v>22</v>
      </c>
      <c r="C19" s="4"/>
      <c r="D19" s="23">
        <f>SUMIFS(德育素质!H:H,德育素质!B:B,B19,德育素质!D:D,"=基本评定分")</f>
        <v>5.28</v>
      </c>
      <c r="E19" s="23">
        <f>MIN(2,SUMIFS(德育素质!H:H,德育素质!A:A,A19,德育素质!D:D,"=集体评定等级分",德育素质!E:E,"=班级考评等级")+SUMIFS(德育素质!H:H,德育素质!B:B,B19,德育素质!D:D,"=集体评定等级分"))</f>
        <v>2</v>
      </c>
      <c r="F19" s="23">
        <f>MIN(2,SUMIFS(德育素质!H:H,德育素质!B:B,B19,德育素质!D:D,"=社会责任记实分"))</f>
        <v>0.3</v>
      </c>
      <c r="G19" s="5">
        <f>SUMIFS(德育素质!H:H,德育素质!B:B,B19,德育素质!D:D,"=违纪违规扣分")</f>
        <v>0</v>
      </c>
      <c r="H19" s="5">
        <f>SUMIFS(德育素质!H:H,德育素质!B:B,B19,德育素质!D:D,"=荣誉称号加分")</f>
        <v>0</v>
      </c>
      <c r="I19" s="5">
        <f t="shared" si="0"/>
        <v>2.3</v>
      </c>
      <c r="J19" s="23">
        <f t="shared" si="1"/>
        <v>7.58</v>
      </c>
      <c r="K19" s="23">
        <f>(VLOOKUP(B19,智育素质!B:D,3,0)*10+50)*0.6</f>
        <v>50.73</v>
      </c>
      <c r="L19" s="23">
        <f>SUMIFS(体育素质!J:J,体育素质!B:B,B19,体育素质!D:D,"=体育课程成绩",体育素质!E:E,"=体育成绩")/40</f>
        <v>4.35</v>
      </c>
      <c r="M19" s="23">
        <f>SUMIFS(体育素质!L:L,体育素质!B:B,B19,体育素质!D:D,"=校内外体育竞赛")</f>
        <v>0</v>
      </c>
      <c r="N19" s="23">
        <f>SUMIFS(体育素质!L:L,体育素质!B:B,B19,体育素质!D:D,"=校内外体育活动",体育素质!E:E,"=早锻炼")</f>
        <v>0.2</v>
      </c>
      <c r="O19" s="23">
        <f>SUMIFS(体育素质!L:L,体育素质!B:B,B19,体育素质!D:D,"=校内外体育活动",体育素质!E:E,"=校园跑")</f>
        <v>0.6</v>
      </c>
      <c r="P19" s="23">
        <f t="shared" si="2"/>
        <v>0.8</v>
      </c>
      <c r="Q19" s="23">
        <f t="shared" si="3"/>
        <v>5.15</v>
      </c>
      <c r="R19" s="23">
        <f>MIN(0.5,SUMIFS(美育素质!L:L,美育素质!B:B,B19,美育素质!D:D,"=文化艺术实践"))</f>
        <v>0</v>
      </c>
      <c r="S19" s="23">
        <f>SUMIFS(美育素质!L:L,美育素质!B:B,B19,美育素质!D:D,"=校内外文化艺术竞赛")</f>
        <v>0.08</v>
      </c>
      <c r="T19" s="23">
        <f t="shared" si="4"/>
        <v>0.08</v>
      </c>
      <c r="U19" s="23">
        <f>MAX(0,SUMIFS(劳育素质!K:K,劳育素质!B:B,B19,劳育素质!D:D,"=劳动日常考核基础分")+SUMIFS(劳育素质!K:K,劳育素质!B:B,B19,劳育素质!D:D,"=活动与卫生加减分"))</f>
        <v>2.57173333333333</v>
      </c>
      <c r="V19" s="23">
        <f>SUMIFS(劳育素质!K:K,劳育素质!B:B,B19,劳育素质!D:D,"=志愿服务",劳育素质!F:F,"=A类+B类")</f>
        <v>3</v>
      </c>
      <c r="W19" s="23">
        <f>SUMIFS(劳育素质!K:K,劳育素质!B:B,B19,劳育素质!D:D,"=志愿服务",劳育素质!F:F,"=C类")</f>
        <v>0</v>
      </c>
      <c r="X19" s="23">
        <f t="shared" si="5"/>
        <v>3</v>
      </c>
      <c r="Y19" s="23">
        <f>SUMIFS(劳育素质!K:K,劳育素质!B:B,B19,劳育素质!D:D,"=实习实训")</f>
        <v>0</v>
      </c>
      <c r="Z19" s="23">
        <f t="shared" si="6"/>
        <v>5</v>
      </c>
      <c r="AA19" s="23">
        <f>SUMIFS(创新与实践素质!L:L,创新与实践素质!B:B,B19,创新与实践素质!D:D,"=创新创业素质")</f>
        <v>0</v>
      </c>
      <c r="AB19" s="23">
        <f>SUMIFS(创新与实践素质!L:L,创新与实践素质!B:B,B19,创新与实践素质!D:D,"=水平考试")</f>
        <v>1.25</v>
      </c>
      <c r="AC19" s="23">
        <f>SUMIFS(创新与实践素质!L:L,创新与实践素质!B:B,B19,创新与实践素质!D:D,"=社会实践")</f>
        <v>0</v>
      </c>
      <c r="AD19" s="23">
        <f>_xlfn.MAXIFS(创新与实践素质!L:L,创新与实践素质!B:B,B19,创新与实践素质!D:D,"=社会工作能力（工作表现）",创新与实践素质!G:G,"=上学期")+_xlfn.MAXIFS(创新与实践素质!L:L,创新与实践素质!B:B,B19,创新与实践素质!D:D,"=社会工作能力（工作表现）",创新与实践素质!G:G,"=下学期")</f>
        <v>0</v>
      </c>
      <c r="AE19" s="23">
        <f t="shared" si="7"/>
        <v>1.25</v>
      </c>
      <c r="AF19" s="23">
        <f t="shared" si="8"/>
        <v>69.79</v>
      </c>
    </row>
    <row r="20" spans="1:32">
      <c r="A20" s="4" t="s">
        <v>6</v>
      </c>
      <c r="B20" s="32" t="s">
        <v>23</v>
      </c>
      <c r="C20" s="4"/>
      <c r="D20" s="23">
        <f>SUMIFS(德育素质!H:H,德育素质!B:B,B20,德育素质!D:D,"=基本评定分")</f>
        <v>5.28</v>
      </c>
      <c r="E20" s="23">
        <f>MIN(2,SUMIFS(德育素质!H:H,德育素质!A:A,A20,德育素质!D:D,"=集体评定等级分",德育素质!E:E,"=班级考评等级")+SUMIFS(德育素质!H:H,德育素质!B:B,B20,德育素质!D:D,"=集体评定等级分"))</f>
        <v>2</v>
      </c>
      <c r="F20" s="23">
        <f>MIN(2,SUMIFS(德育素质!H:H,德育素质!B:B,B20,德育素质!D:D,"=社会责任记实分"))</f>
        <v>0</v>
      </c>
      <c r="G20" s="5">
        <f>SUMIFS(德育素质!H:H,德育素质!B:B,B20,德育素质!D:D,"=违纪违规扣分")</f>
        <v>0</v>
      </c>
      <c r="H20" s="5">
        <f>SUMIFS(德育素质!H:H,德育素质!B:B,B20,德育素质!D:D,"=荣誉称号加分")</f>
        <v>0</v>
      </c>
      <c r="I20" s="5">
        <f t="shared" si="0"/>
        <v>2</v>
      </c>
      <c r="J20" s="23">
        <f t="shared" si="1"/>
        <v>7.28</v>
      </c>
      <c r="K20" s="23">
        <f>(VLOOKUP(B20,智育素质!B:D,3,0)*10+50)*0.6</f>
        <v>52.626</v>
      </c>
      <c r="L20" s="23">
        <f>SUMIFS(体育素质!J:J,体育素质!B:B,B20,体育素质!D:D,"=体育课程成绩",体育素质!E:E,"=体育成绩")/40</f>
        <v>4.075</v>
      </c>
      <c r="M20" s="23">
        <f>SUMIFS(体育素质!L:L,体育素质!B:B,B20,体育素质!D:D,"=校内外体育竞赛")</f>
        <v>0</v>
      </c>
      <c r="N20" s="23">
        <f>SUMIFS(体育素质!L:L,体育素质!B:B,B20,体育素质!D:D,"=校内外体育活动",体育素质!E:E,"=早锻炼")</f>
        <v>0.2</v>
      </c>
      <c r="O20" s="23">
        <f>SUMIFS(体育素质!L:L,体育素质!B:B,B20,体育素质!D:D,"=校内外体育活动",体育素质!E:E,"=校园跑")</f>
        <v>0.6</v>
      </c>
      <c r="P20" s="23">
        <f t="shared" si="2"/>
        <v>0.8</v>
      </c>
      <c r="Q20" s="23">
        <f t="shared" si="3"/>
        <v>4.875</v>
      </c>
      <c r="R20" s="23">
        <f>MIN(0.5,SUMIFS(美育素质!L:L,美育素质!B:B,B20,美育素质!D:D,"=文化艺术实践"))</f>
        <v>0</v>
      </c>
      <c r="S20" s="23">
        <f>SUMIFS(美育素质!L:L,美育素质!B:B,B20,美育素质!D:D,"=校内外文化艺术竞赛")</f>
        <v>0</v>
      </c>
      <c r="T20" s="23">
        <f t="shared" si="4"/>
        <v>0</v>
      </c>
      <c r="U20" s="23">
        <f>MAX(0,SUMIFS(劳育素质!K:K,劳育素质!B:B,B20,劳育素质!D:D,"=劳动日常考核基础分")+SUMIFS(劳育素质!K:K,劳育素质!B:B,B20,劳育素质!D:D,"=活动与卫生加减分"))</f>
        <v>1.77561111111111</v>
      </c>
      <c r="V20" s="23">
        <f>SUMIFS(劳育素质!K:K,劳育素质!B:B,B20,劳育素质!D:D,"=志愿服务",劳育素质!F:F,"=A类+B类")</f>
        <v>3</v>
      </c>
      <c r="W20" s="23">
        <f>SUMIFS(劳育素质!K:K,劳育素质!B:B,B20,劳育素质!D:D,"=志愿服务",劳育素质!F:F,"=C类")</f>
        <v>0</v>
      </c>
      <c r="X20" s="23">
        <f t="shared" si="5"/>
        <v>3</v>
      </c>
      <c r="Y20" s="23">
        <f>SUMIFS(劳育素质!K:K,劳育素质!B:B,B20,劳育素质!D:D,"=实习实训")</f>
        <v>0</v>
      </c>
      <c r="Z20" s="23">
        <f t="shared" si="6"/>
        <v>4.77561111111111</v>
      </c>
      <c r="AA20" s="23">
        <f>SUMIFS(创新与实践素质!L:L,创新与实践素质!B:B,B20,创新与实践素质!D:D,"=创新创业素质")</f>
        <v>0</v>
      </c>
      <c r="AB20" s="23">
        <f>SUMIFS(创新与实践素质!L:L,创新与实践素质!B:B,B20,创新与实践素质!D:D,"=水平考试")</f>
        <v>0.9183</v>
      </c>
      <c r="AC20" s="23">
        <f>SUMIFS(创新与实践素质!L:L,创新与实践素质!B:B,B20,创新与实践素质!D:D,"=社会实践")</f>
        <v>0</v>
      </c>
      <c r="AD20" s="23">
        <f>_xlfn.MAXIFS(创新与实践素质!L:L,创新与实践素质!B:B,B20,创新与实践素质!D:D,"=社会工作能力（工作表现）",创新与实践素质!G:G,"=上学期")+_xlfn.MAXIFS(创新与实践素质!L:L,创新与实践素质!B:B,B20,创新与实践素质!D:D,"=社会工作能力（工作表现）",创新与实践素质!G:G,"=下学期")</f>
        <v>0</v>
      </c>
      <c r="AE20" s="23">
        <f t="shared" si="7"/>
        <v>0.9183</v>
      </c>
      <c r="AF20" s="23">
        <f t="shared" si="8"/>
        <v>70.4749111111111</v>
      </c>
    </row>
    <row r="21" spans="1:32">
      <c r="A21" s="4" t="s">
        <v>6</v>
      </c>
      <c r="B21" s="32" t="s">
        <v>24</v>
      </c>
      <c r="C21" s="4"/>
      <c r="D21" s="23">
        <f>SUMIFS(德育素质!H:H,德育素质!B:B,B21,德育素质!D:D,"=基本评定分")</f>
        <v>5.28</v>
      </c>
      <c r="E21" s="23">
        <f>MIN(2,SUMIFS(德育素质!H:H,德育素质!A:A,A21,德育素质!D:D,"=集体评定等级分",德育素质!E:E,"=班级考评等级")+SUMIFS(德育素质!H:H,德育素质!B:B,B21,德育素质!D:D,"=集体评定等级分"))</f>
        <v>2</v>
      </c>
      <c r="F21" s="23">
        <f>MIN(2,SUMIFS(德育素质!H:H,德育素质!B:B,B21,德育素质!D:D,"=社会责任记实分"))</f>
        <v>0</v>
      </c>
      <c r="G21" s="5">
        <f>SUMIFS(德育素质!H:H,德育素质!B:B,B21,德育素质!D:D,"=违纪违规扣分")</f>
        <v>0</v>
      </c>
      <c r="H21" s="5">
        <f>SUMIFS(德育素质!H:H,德育素质!B:B,B21,德育素质!D:D,"=荣誉称号加分")</f>
        <v>0</v>
      </c>
      <c r="I21" s="5">
        <f t="shared" si="0"/>
        <v>2</v>
      </c>
      <c r="J21" s="23">
        <f t="shared" si="1"/>
        <v>7.28</v>
      </c>
      <c r="K21" s="23">
        <f>(VLOOKUP(B21,智育素质!B:D,3,0)*10+50)*0.6</f>
        <v>44.526</v>
      </c>
      <c r="L21" s="23">
        <f>SUMIFS(体育素质!J:J,体育素质!B:B,B21,体育素质!D:D,"=体育课程成绩",体育素质!E:E,"=体育成绩")/40</f>
        <v>3.125</v>
      </c>
      <c r="M21" s="23">
        <f>SUMIFS(体育素质!L:L,体育素质!B:B,B21,体育素质!D:D,"=校内外体育竞赛")</f>
        <v>0</v>
      </c>
      <c r="N21" s="23">
        <f>SUMIFS(体育素质!L:L,体育素质!B:B,B21,体育素质!D:D,"=校内外体育活动",体育素质!E:E,"=早锻炼")</f>
        <v>0.165</v>
      </c>
      <c r="O21" s="23">
        <f>SUMIFS(体育素质!L:L,体育素质!B:B,B21,体育素质!D:D,"=校内外体育活动",体育素质!E:E,"=校园跑")</f>
        <v>0</v>
      </c>
      <c r="P21" s="23">
        <f t="shared" si="2"/>
        <v>0.165</v>
      </c>
      <c r="Q21" s="23">
        <f t="shared" si="3"/>
        <v>3.29</v>
      </c>
      <c r="R21" s="23">
        <f>MIN(0.5,SUMIFS(美育素质!L:L,美育素质!B:B,B21,美育素质!D:D,"=文化艺术实践"))</f>
        <v>0</v>
      </c>
      <c r="S21" s="23">
        <f>SUMIFS(美育素质!L:L,美育素质!B:B,B21,美育素质!D:D,"=校内外文化艺术竞赛")</f>
        <v>0</v>
      </c>
      <c r="T21" s="23">
        <f t="shared" si="4"/>
        <v>0</v>
      </c>
      <c r="U21" s="23">
        <f>MAX(0,SUMIFS(劳育素质!K:K,劳育素质!B:B,B21,劳育素质!D:D,"=劳动日常考核基础分")+SUMIFS(劳育素质!K:K,劳育素质!B:B,B21,劳育素质!D:D,"=活动与卫生加减分"))</f>
        <v>1.55566666666667</v>
      </c>
      <c r="V21" s="23">
        <f>SUMIFS(劳育素质!K:K,劳育素质!B:B,B21,劳育素质!D:D,"=志愿服务",劳育素质!F:F,"=A类+B类")</f>
        <v>0.65</v>
      </c>
      <c r="W21" s="23">
        <f>SUMIFS(劳育素质!K:K,劳育素质!B:B,B21,劳育素质!D:D,"=志愿服务",劳育素质!F:F,"=C类")</f>
        <v>0</v>
      </c>
      <c r="X21" s="23">
        <f t="shared" si="5"/>
        <v>0.65</v>
      </c>
      <c r="Y21" s="23">
        <f>SUMIFS(劳育素质!K:K,劳育素质!B:B,B21,劳育素质!D:D,"=实习实训")</f>
        <v>0</v>
      </c>
      <c r="Z21" s="23">
        <f t="shared" si="6"/>
        <v>2.20566666666667</v>
      </c>
      <c r="AA21" s="23">
        <f>SUMIFS(创新与实践素质!L:L,创新与实践素质!B:B,B21,创新与实践素质!D:D,"=创新创业素质")</f>
        <v>0</v>
      </c>
      <c r="AB21" s="23">
        <f>SUMIFS(创新与实践素质!L:L,创新与实践素质!B:B,B21,创新与实践素质!D:D,"=水平考试")</f>
        <v>0</v>
      </c>
      <c r="AC21" s="23">
        <f>SUMIFS(创新与实践素质!L:L,创新与实践素质!B:B,B21,创新与实践素质!D:D,"=社会实践")</f>
        <v>0</v>
      </c>
      <c r="AD21" s="23">
        <f>_xlfn.MAXIFS(创新与实践素质!L:L,创新与实践素质!B:B,B21,创新与实践素质!D:D,"=社会工作能力（工作表现）",创新与实践素质!G:G,"=上学期")+_xlfn.MAXIFS(创新与实践素质!L:L,创新与实践素质!B:B,B21,创新与实践素质!D:D,"=社会工作能力（工作表现）",创新与实践素质!G:G,"=下学期")</f>
        <v>0</v>
      </c>
      <c r="AE21" s="23">
        <f t="shared" si="7"/>
        <v>0</v>
      </c>
      <c r="AF21" s="23">
        <f t="shared" si="8"/>
        <v>57.3016666666667</v>
      </c>
    </row>
    <row r="22" spans="1:32">
      <c r="A22" s="4" t="s">
        <v>6</v>
      </c>
      <c r="B22" s="32" t="s">
        <v>25</v>
      </c>
      <c r="C22" s="4"/>
      <c r="D22" s="23">
        <f>SUMIFS(德育素质!H:H,德育素质!B:B,B22,德育素质!D:D,"=基本评定分")</f>
        <v>5.28</v>
      </c>
      <c r="E22" s="23">
        <f>MIN(2,SUMIFS(德育素质!H:H,德育素质!A:A,A22,德育素质!D:D,"=集体评定等级分",德育素质!E:E,"=班级考评等级")+SUMIFS(德育素质!H:H,德育素质!B:B,B22,德育素质!D:D,"=集体评定等级分"))</f>
        <v>2</v>
      </c>
      <c r="F22" s="23">
        <f>MIN(2,SUMIFS(德育素质!H:H,德育素质!B:B,B22,德育素质!D:D,"=社会责任记实分"))</f>
        <v>0</v>
      </c>
      <c r="G22" s="5">
        <f>SUMIFS(德育素质!H:H,德育素质!B:B,B22,德育素质!D:D,"=违纪违规扣分")</f>
        <v>0</v>
      </c>
      <c r="H22" s="5">
        <f>SUMIFS(德育素质!H:H,德育素质!B:B,B22,德育素质!D:D,"=荣誉称号加分")</f>
        <v>0</v>
      </c>
      <c r="I22" s="5">
        <f t="shared" si="0"/>
        <v>2</v>
      </c>
      <c r="J22" s="23">
        <f t="shared" si="1"/>
        <v>7.28</v>
      </c>
      <c r="K22" s="23">
        <f>(VLOOKUP(B22,智育素质!B:D,3,0)*10+50)*0.6</f>
        <v>53.838</v>
      </c>
      <c r="L22" s="23">
        <f>SUMIFS(体育素质!J:J,体育素质!B:B,B22,体育素质!D:D,"=体育课程成绩",体育素质!E:E,"=体育成绩")/40</f>
        <v>4.375</v>
      </c>
      <c r="M22" s="23">
        <f>SUMIFS(体育素质!L:L,体育素质!B:B,B22,体育素质!D:D,"=校内外体育竞赛")</f>
        <v>0</v>
      </c>
      <c r="N22" s="23">
        <f>SUMIFS(体育素质!L:L,体育素质!B:B,B22,体育素质!D:D,"=校内外体育活动",体育素质!E:E,"=早锻炼")</f>
        <v>0.17</v>
      </c>
      <c r="O22" s="23">
        <f>SUMIFS(体育素质!L:L,体育素质!B:B,B22,体育素质!D:D,"=校内外体育活动",体育素质!E:E,"=校园跑")</f>
        <v>0.6</v>
      </c>
      <c r="P22" s="23">
        <f t="shared" si="2"/>
        <v>0.77</v>
      </c>
      <c r="Q22" s="23">
        <f t="shared" si="3"/>
        <v>5.145</v>
      </c>
      <c r="R22" s="23">
        <f>MIN(0.5,SUMIFS(美育素质!L:L,美育素质!B:B,B22,美育素质!D:D,"=文化艺术实践"))</f>
        <v>0</v>
      </c>
      <c r="S22" s="23">
        <f>SUMIFS(美育素质!L:L,美育素质!B:B,B22,美育素质!D:D,"=校内外文化艺术竞赛")</f>
        <v>1.75</v>
      </c>
      <c r="T22" s="23">
        <f t="shared" si="4"/>
        <v>1.75</v>
      </c>
      <c r="U22" s="23">
        <f>MAX(0,SUMIFS(劳育素质!K:K,劳育素质!B:B,B22,劳育素质!D:D,"=劳动日常考核基础分")+SUMIFS(劳育素质!K:K,劳育素质!B:B,B22,劳育素质!D:D,"=活动与卫生加减分"))</f>
        <v>1.39766666666667</v>
      </c>
      <c r="V22" s="23">
        <f>SUMIFS(劳育素质!K:K,劳育素质!B:B,B22,劳育素质!D:D,"=志愿服务",劳育素质!F:F,"=A类+B类")</f>
        <v>3</v>
      </c>
      <c r="W22" s="23">
        <f>SUMIFS(劳育素质!K:K,劳育素质!B:B,B22,劳育素质!D:D,"=志愿服务",劳育素质!F:F,"=C类")</f>
        <v>0</v>
      </c>
      <c r="X22" s="23">
        <f t="shared" si="5"/>
        <v>3</v>
      </c>
      <c r="Y22" s="23">
        <f>SUMIFS(劳育素质!K:K,劳育素质!B:B,B22,劳育素质!D:D,"=实习实训")</f>
        <v>0</v>
      </c>
      <c r="Z22" s="23">
        <f t="shared" si="6"/>
        <v>4.39766666666667</v>
      </c>
      <c r="AA22" s="23">
        <f>SUMIFS(创新与实践素质!L:L,创新与实践素质!B:B,B22,创新与实践素质!D:D,"=创新创业素质")</f>
        <v>9</v>
      </c>
      <c r="AB22" s="23">
        <f>SUMIFS(创新与实践素质!L:L,创新与实践素质!B:B,B22,创新与实践素质!D:D,"=水平考试")</f>
        <v>0.471</v>
      </c>
      <c r="AC22" s="23">
        <f>SUMIFS(创新与实践素质!L:L,创新与实践素质!B:B,B22,创新与实践素质!D:D,"=社会实践")</f>
        <v>0</v>
      </c>
      <c r="AD22" s="23">
        <f>_xlfn.MAXIFS(创新与实践素质!L:L,创新与实践素质!B:B,B22,创新与实践素质!D:D,"=社会工作能力（工作表现）",创新与实践素质!G:G,"=上学期")+_xlfn.MAXIFS(创新与实践素质!L:L,创新与实践素质!B:B,B22,创新与实践素质!D:D,"=社会工作能力（工作表现）",创新与实践素质!G:G,"=下学期")</f>
        <v>0.75</v>
      </c>
      <c r="AE22" s="23">
        <f t="shared" si="7"/>
        <v>10.221</v>
      </c>
      <c r="AF22" s="23">
        <f t="shared" si="8"/>
        <v>82.6316666666667</v>
      </c>
    </row>
    <row r="23" spans="1:32">
      <c r="A23" s="4" t="s">
        <v>6</v>
      </c>
      <c r="B23" s="32" t="s">
        <v>26</v>
      </c>
      <c r="C23" s="4"/>
      <c r="D23" s="23">
        <f>SUMIFS(德育素质!H:H,德育素质!B:B,B23,德育素质!D:D,"=基本评定分")</f>
        <v>5.28</v>
      </c>
      <c r="E23" s="23">
        <f>MIN(2,SUMIFS(德育素质!H:H,德育素质!A:A,A23,德育素质!D:D,"=集体评定等级分",德育素质!E:E,"=班级考评等级")+SUMIFS(德育素质!H:H,德育素质!B:B,B23,德育素质!D:D,"=集体评定等级分"))</f>
        <v>2</v>
      </c>
      <c r="F23" s="23">
        <f>MIN(2,SUMIFS(德育素质!H:H,德育素质!B:B,B23,德育素质!D:D,"=社会责任记实分"))</f>
        <v>0</v>
      </c>
      <c r="G23" s="5">
        <f>SUMIFS(德育素质!H:H,德育素质!B:B,B23,德育素质!D:D,"=违纪违规扣分")</f>
        <v>0</v>
      </c>
      <c r="H23" s="5">
        <f>SUMIFS(德育素质!H:H,德育素质!B:B,B23,德育素质!D:D,"=荣誉称号加分")</f>
        <v>0</v>
      </c>
      <c r="I23" s="5">
        <f t="shared" si="0"/>
        <v>2</v>
      </c>
      <c r="J23" s="23">
        <f t="shared" si="1"/>
        <v>7.28</v>
      </c>
      <c r="K23" s="23">
        <f>(VLOOKUP(B23,智育素质!B:D,3,0)*10+50)*0.6</f>
        <v>48.348</v>
      </c>
      <c r="L23" s="23">
        <f>SUMIFS(体育素质!J:J,体育素质!B:B,B23,体育素质!D:D,"=体育课程成绩",体育素质!E:E,"=体育成绩")/40</f>
        <v>4.25</v>
      </c>
      <c r="M23" s="23">
        <f>SUMIFS(体育素质!L:L,体育素质!B:B,B23,体育素质!D:D,"=校内外体育竞赛")</f>
        <v>0</v>
      </c>
      <c r="N23" s="23">
        <f>SUMIFS(体育素质!L:L,体育素质!B:B,B23,体育素质!D:D,"=校内外体育活动",体育素质!E:E,"=早锻炼")</f>
        <v>0.2</v>
      </c>
      <c r="O23" s="23">
        <f>SUMIFS(体育素质!L:L,体育素质!B:B,B23,体育素质!D:D,"=校内外体育活动",体育素质!E:E,"=校园跑")</f>
        <v>0.6</v>
      </c>
      <c r="P23" s="23">
        <f t="shared" si="2"/>
        <v>0.8</v>
      </c>
      <c r="Q23" s="23">
        <f t="shared" si="3"/>
        <v>5.05</v>
      </c>
      <c r="R23" s="23">
        <f>MIN(0.5,SUMIFS(美育素质!L:L,美育素质!B:B,B23,美育素质!D:D,"=文化艺术实践"))</f>
        <v>0</v>
      </c>
      <c r="S23" s="23">
        <f>SUMIFS(美育素质!L:L,美育素质!B:B,B23,美育素质!D:D,"=校内外文化艺术竞赛")</f>
        <v>0</v>
      </c>
      <c r="T23" s="23">
        <f t="shared" si="4"/>
        <v>0</v>
      </c>
      <c r="U23" s="23">
        <f>MAX(0,SUMIFS(劳育素质!K:K,劳育素质!B:B,B23,劳育素质!D:D,"=劳动日常考核基础分")+SUMIFS(劳育素质!K:K,劳育素质!B:B,B23,劳育素质!D:D,"=活动与卫生加减分"))</f>
        <v>1.55566666666667</v>
      </c>
      <c r="V23" s="23">
        <f>SUMIFS(劳育素质!K:K,劳育素质!B:B,B23,劳育素质!D:D,"=志愿服务",劳育素质!F:F,"=A类+B类")</f>
        <v>0</v>
      </c>
      <c r="W23" s="23">
        <f>SUMIFS(劳育素质!K:K,劳育素质!B:B,B23,劳育素质!D:D,"=志愿服务",劳育素质!F:F,"=C类")</f>
        <v>0</v>
      </c>
      <c r="X23" s="23">
        <f t="shared" si="5"/>
        <v>0</v>
      </c>
      <c r="Y23" s="23">
        <f>SUMIFS(劳育素质!K:K,劳育素质!B:B,B23,劳育素质!D:D,"=实习实训")</f>
        <v>0</v>
      </c>
      <c r="Z23" s="23">
        <f t="shared" si="6"/>
        <v>1.55566666666667</v>
      </c>
      <c r="AA23" s="23">
        <f>SUMIFS(创新与实践素质!L:L,创新与实践素质!B:B,B23,创新与实践素质!D:D,"=创新创业素质")</f>
        <v>0</v>
      </c>
      <c r="AB23" s="23">
        <f>SUMIFS(创新与实践素质!L:L,创新与实践素质!B:B,B23,创新与实践素质!D:D,"=水平考试")</f>
        <v>0.6</v>
      </c>
      <c r="AC23" s="23">
        <f>SUMIFS(创新与实践素质!L:L,创新与实践素质!B:B,B23,创新与实践素质!D:D,"=社会实践")</f>
        <v>0</v>
      </c>
      <c r="AD23" s="23">
        <f>_xlfn.MAXIFS(创新与实践素质!L:L,创新与实践素质!B:B,B23,创新与实践素质!D:D,"=社会工作能力（工作表现）",创新与实践素质!G:G,"=上学期")+_xlfn.MAXIFS(创新与实践素质!L:L,创新与实践素质!B:B,B23,创新与实践素质!D:D,"=社会工作能力（工作表现）",创新与实践素质!G:G,"=下学期")</f>
        <v>0</v>
      </c>
      <c r="AE23" s="23">
        <f t="shared" si="7"/>
        <v>0.6</v>
      </c>
      <c r="AF23" s="23">
        <f t="shared" si="8"/>
        <v>62.8336666666667</v>
      </c>
    </row>
    <row r="24" spans="1:32">
      <c r="A24" s="4" t="s">
        <v>6</v>
      </c>
      <c r="B24" s="32" t="s">
        <v>27</v>
      </c>
      <c r="C24" s="4"/>
      <c r="D24" s="23">
        <f>SUMIFS(德育素质!H:H,德育素质!B:B,B24,德育素质!D:D,"=基本评定分")</f>
        <v>5.28</v>
      </c>
      <c r="E24" s="23">
        <f>MIN(2,SUMIFS(德育素质!H:H,德育素质!A:A,A24,德育素质!D:D,"=集体评定等级分",德育素质!E:E,"=班级考评等级")+SUMIFS(德育素质!H:H,德育素质!B:B,B24,德育素质!D:D,"=集体评定等级分"))</f>
        <v>2</v>
      </c>
      <c r="F24" s="23">
        <f>MIN(2,SUMIFS(德育素质!H:H,德育素质!B:B,B24,德育素质!D:D,"=社会责任记实分"))</f>
        <v>0</v>
      </c>
      <c r="G24" s="5">
        <f>SUMIFS(德育素质!H:H,德育素质!B:B,B24,德育素质!D:D,"=违纪违规扣分")</f>
        <v>0</v>
      </c>
      <c r="H24" s="5">
        <f>SUMIFS(德育素质!H:H,德育素质!B:B,B24,德育素质!D:D,"=荣誉称号加分")</f>
        <v>0</v>
      </c>
      <c r="I24" s="5">
        <f t="shared" si="0"/>
        <v>2</v>
      </c>
      <c r="J24" s="23">
        <f t="shared" si="1"/>
        <v>7.28</v>
      </c>
      <c r="K24" s="23">
        <f>(VLOOKUP(B24,智育素质!B:D,3,0)*10+50)*0.6</f>
        <v>50.67</v>
      </c>
      <c r="L24" s="23">
        <f>SUMIFS(体育素质!J:J,体育素质!B:B,B24,体育素质!D:D,"=体育课程成绩",体育素质!E:E,"=体育成绩")/40</f>
        <v>3.625</v>
      </c>
      <c r="M24" s="23">
        <f>SUMIFS(体育素质!L:L,体育素质!B:B,B24,体育素质!D:D,"=校内外体育竞赛")</f>
        <v>0</v>
      </c>
      <c r="N24" s="23">
        <f>SUMIFS(体育素质!L:L,体育素质!B:B,B24,体育素质!D:D,"=校内外体育活动",体育素质!E:E,"=早锻炼")</f>
        <v>0.2</v>
      </c>
      <c r="O24" s="23">
        <f>SUMIFS(体育素质!L:L,体育素质!B:B,B24,体育素质!D:D,"=校内外体育活动",体育素质!E:E,"=校园跑")</f>
        <v>0.6</v>
      </c>
      <c r="P24" s="23">
        <f t="shared" si="2"/>
        <v>0.8</v>
      </c>
      <c r="Q24" s="23">
        <f t="shared" si="3"/>
        <v>4.425</v>
      </c>
      <c r="R24" s="23">
        <f>MIN(0.5,SUMIFS(美育素质!L:L,美育素质!B:B,B24,美育素质!D:D,"=文化艺术实践"))</f>
        <v>0</v>
      </c>
      <c r="S24" s="23">
        <f>SUMIFS(美育素质!L:L,美育素质!B:B,B24,美育素质!D:D,"=校内外文化艺术竞赛")</f>
        <v>0</v>
      </c>
      <c r="T24" s="23">
        <f t="shared" si="4"/>
        <v>0</v>
      </c>
      <c r="U24" s="23">
        <f>MAX(0,SUMIFS(劳育素质!K:K,劳育素质!B:B,B24,劳育素质!D:D,"=劳动日常考核基础分")+SUMIFS(劳育素质!K:K,劳育素质!B:B,B24,劳育素质!D:D,"=活动与卫生加减分"))</f>
        <v>1.54966666666667</v>
      </c>
      <c r="V24" s="23">
        <f>SUMIFS(劳育素质!K:K,劳育素质!B:B,B24,劳育素质!D:D,"=志愿服务",劳育素质!F:F,"=A类+B类")</f>
        <v>0</v>
      </c>
      <c r="W24" s="23">
        <f>SUMIFS(劳育素质!K:K,劳育素质!B:B,B24,劳育素质!D:D,"=志愿服务",劳育素质!F:F,"=C类")</f>
        <v>0</v>
      </c>
      <c r="X24" s="23">
        <f t="shared" si="5"/>
        <v>0</v>
      </c>
      <c r="Y24" s="23">
        <f>SUMIFS(劳育素质!K:K,劳育素质!B:B,B24,劳育素质!D:D,"=实习实训")</f>
        <v>0</v>
      </c>
      <c r="Z24" s="23">
        <f t="shared" si="6"/>
        <v>1.54966666666667</v>
      </c>
      <c r="AA24" s="23">
        <f>SUMIFS(创新与实践素质!L:L,创新与实践素质!B:B,B24,创新与实践素质!D:D,"=创新创业素质")</f>
        <v>0</v>
      </c>
      <c r="AB24" s="23">
        <f>SUMIFS(创新与实践素质!L:L,创新与实践素质!B:B,B24,创新与实践素质!D:D,"=水平考试")</f>
        <v>0</v>
      </c>
      <c r="AC24" s="23">
        <f>SUMIFS(创新与实践素质!L:L,创新与实践素质!B:B,B24,创新与实践素质!D:D,"=社会实践")</f>
        <v>0</v>
      </c>
      <c r="AD24" s="23">
        <f>_xlfn.MAXIFS(创新与实践素质!L:L,创新与实践素质!B:B,B24,创新与实践素质!D:D,"=社会工作能力（工作表现）",创新与实践素质!G:G,"=上学期")+_xlfn.MAXIFS(创新与实践素质!L:L,创新与实践素质!B:B,B24,创新与实践素质!D:D,"=社会工作能力（工作表现）",创新与实践素质!G:G,"=下学期")</f>
        <v>0</v>
      </c>
      <c r="AE24" s="23">
        <f t="shared" si="7"/>
        <v>0</v>
      </c>
      <c r="AF24" s="23">
        <f t="shared" si="8"/>
        <v>63.9246666666667</v>
      </c>
    </row>
    <row r="25" spans="1:32">
      <c r="A25" s="4" t="s">
        <v>6</v>
      </c>
      <c r="B25" s="32" t="s">
        <v>28</v>
      </c>
      <c r="C25" s="4"/>
      <c r="D25" s="23">
        <f>SUMIFS(德育素质!H:H,德育素质!B:B,B25,德育素质!D:D,"=基本评定分")</f>
        <v>5.28</v>
      </c>
      <c r="E25" s="23">
        <f>MIN(2,SUMIFS(德育素质!H:H,德育素质!A:A,A25,德育素质!D:D,"=集体评定等级分",德育素质!E:E,"=班级考评等级")+SUMIFS(德育素质!H:H,德育素质!B:B,B25,德育素质!D:D,"=集体评定等级分"))</f>
        <v>2</v>
      </c>
      <c r="F25" s="23">
        <f>MIN(2,SUMIFS(德育素质!H:H,德育素质!B:B,B25,德育素质!D:D,"=社会责任记实分"))</f>
        <v>0</v>
      </c>
      <c r="G25" s="5">
        <f>SUMIFS(德育素质!H:H,德育素质!B:B,B25,德育素质!D:D,"=违纪违规扣分")</f>
        <v>-0.02</v>
      </c>
      <c r="H25" s="5">
        <f>SUMIFS(德育素质!H:H,德育素质!B:B,B25,德育素质!D:D,"=荣誉称号加分")</f>
        <v>0</v>
      </c>
      <c r="I25" s="5">
        <f t="shared" si="0"/>
        <v>1.98</v>
      </c>
      <c r="J25" s="23">
        <f t="shared" si="1"/>
        <v>7.26</v>
      </c>
      <c r="K25" s="23">
        <f>(VLOOKUP(B25,智育素质!B:D,3,0)*10+50)*0.6</f>
        <v>49.692</v>
      </c>
      <c r="L25" s="23">
        <f>SUMIFS(体育素质!J:J,体育素质!B:B,B25,体育素质!D:D,"=体育课程成绩",体育素质!E:E,"=体育成绩")/40</f>
        <v>3.725</v>
      </c>
      <c r="M25" s="23">
        <f>SUMIFS(体育素质!L:L,体育素质!B:B,B25,体育素质!D:D,"=校内外体育竞赛")</f>
        <v>0</v>
      </c>
      <c r="N25" s="23">
        <f>SUMIFS(体育素质!L:L,体育素质!B:B,B25,体育素质!D:D,"=校内外体育活动",体育素质!E:E,"=早锻炼")</f>
        <v>0.155</v>
      </c>
      <c r="O25" s="23">
        <f>SUMIFS(体育素质!L:L,体育素质!B:B,B25,体育素质!D:D,"=校内外体育活动",体育素质!E:E,"=校园跑")</f>
        <v>0</v>
      </c>
      <c r="P25" s="23">
        <f t="shared" si="2"/>
        <v>0.155</v>
      </c>
      <c r="Q25" s="23">
        <f t="shared" si="3"/>
        <v>3.88</v>
      </c>
      <c r="R25" s="23">
        <f>MIN(0.5,SUMIFS(美育素质!L:L,美育素质!B:B,B25,美育素质!D:D,"=文化艺术实践"))</f>
        <v>0</v>
      </c>
      <c r="S25" s="23">
        <f>SUMIFS(美育素质!L:L,美育素质!B:B,B25,美育素质!D:D,"=校内外文化艺术竞赛")</f>
        <v>0</v>
      </c>
      <c r="T25" s="23">
        <f t="shared" si="4"/>
        <v>0</v>
      </c>
      <c r="U25" s="23">
        <f>MAX(0,SUMIFS(劳育素质!K:K,劳育素质!B:B,B25,劳育素质!D:D,"=劳动日常考核基础分")+SUMIFS(劳育素质!K:K,劳育素质!B:B,B25,劳育素质!D:D,"=活动与卫生加减分"))</f>
        <v>1.55566666666667</v>
      </c>
      <c r="V25" s="23">
        <f>SUMIFS(劳育素质!K:K,劳育素质!B:B,B25,劳育素质!D:D,"=志愿服务",劳育素质!F:F,"=A类+B类")</f>
        <v>0.05</v>
      </c>
      <c r="W25" s="23">
        <f>SUMIFS(劳育素质!K:K,劳育素质!B:B,B25,劳育素质!D:D,"=志愿服务",劳育素质!F:F,"=C类")</f>
        <v>0</v>
      </c>
      <c r="X25" s="23">
        <f t="shared" si="5"/>
        <v>0.05</v>
      </c>
      <c r="Y25" s="23">
        <f>SUMIFS(劳育素质!K:K,劳育素质!B:B,B25,劳育素质!D:D,"=实习实训")</f>
        <v>0</v>
      </c>
      <c r="Z25" s="23">
        <f t="shared" si="6"/>
        <v>1.60566666666667</v>
      </c>
      <c r="AA25" s="23">
        <f>SUMIFS(创新与实践素质!L:L,创新与实践素质!B:B,B25,创新与实践素质!D:D,"=创新创业素质")</f>
        <v>0</v>
      </c>
      <c r="AB25" s="23">
        <f>SUMIFS(创新与实践素质!L:L,创新与实践素质!B:B,B25,创新与实践素质!D:D,"=水平考试")</f>
        <v>0.72</v>
      </c>
      <c r="AC25" s="23">
        <f>SUMIFS(创新与实践素质!L:L,创新与实践素质!B:B,B25,创新与实践素质!D:D,"=社会实践")</f>
        <v>0</v>
      </c>
      <c r="AD25" s="23">
        <f>_xlfn.MAXIFS(创新与实践素质!L:L,创新与实践素质!B:B,B25,创新与实践素质!D:D,"=社会工作能力（工作表现）",创新与实践素质!G:G,"=上学期")+_xlfn.MAXIFS(创新与实践素质!L:L,创新与实践素质!B:B,B25,创新与实践素质!D:D,"=社会工作能力（工作表现）",创新与实践素质!G:G,"=下学期")</f>
        <v>0</v>
      </c>
      <c r="AE25" s="23">
        <f t="shared" si="7"/>
        <v>0.72</v>
      </c>
      <c r="AF25" s="23">
        <f t="shared" si="8"/>
        <v>63.1576666666667</v>
      </c>
    </row>
    <row r="26" spans="1:32">
      <c r="A26" s="4" t="s">
        <v>6</v>
      </c>
      <c r="B26" s="32" t="s">
        <v>29</v>
      </c>
      <c r="C26" s="4"/>
      <c r="D26" s="23">
        <f>SUMIFS(德育素质!H:H,德育素质!B:B,B26,德育素质!D:D,"=基本评定分")</f>
        <v>6</v>
      </c>
      <c r="E26" s="23">
        <f>MIN(2,SUMIFS(德育素质!H:H,德育素质!A:A,A26,德育素质!D:D,"=集体评定等级分",德育素质!E:E,"=班级考评等级")+SUMIFS(德育素质!H:H,德育素质!B:B,B26,德育素质!D:D,"=集体评定等级分"))</f>
        <v>2</v>
      </c>
      <c r="F26" s="23">
        <f>MIN(2,SUMIFS(德育素质!H:H,德育素质!B:B,B26,德育素质!D:D,"=社会责任记实分"))</f>
        <v>0.3</v>
      </c>
      <c r="G26" s="5">
        <f>SUMIFS(德育素质!H:H,德育素质!B:B,B26,德育素质!D:D,"=违纪违规扣分")</f>
        <v>0</v>
      </c>
      <c r="H26" s="5">
        <f>SUMIFS(德育素质!H:H,德育素质!B:B,B26,德育素质!D:D,"=荣誉称号加分")</f>
        <v>0.25</v>
      </c>
      <c r="I26" s="5">
        <f t="shared" si="0"/>
        <v>2.55</v>
      </c>
      <c r="J26" s="23">
        <f t="shared" si="1"/>
        <v>8.55</v>
      </c>
      <c r="K26" s="23">
        <f>(VLOOKUP(B26,智育素质!B:D,3,0)*10+50)*0.6</f>
        <v>51.306</v>
      </c>
      <c r="L26" s="23">
        <f>SUMIFS(体育素质!J:J,体育素质!B:B,B26,体育素质!D:D,"=体育课程成绩",体育素质!E:E,"=体育成绩")/40</f>
        <v>3.925</v>
      </c>
      <c r="M26" s="23">
        <f>SUMIFS(体育素质!L:L,体育素质!B:B,B26,体育素质!D:D,"=校内外体育竞赛")</f>
        <v>0</v>
      </c>
      <c r="N26" s="23">
        <f>SUMIFS(体育素质!L:L,体育素质!B:B,B26,体育素质!D:D,"=校内外体育活动",体育素质!E:E,"=早锻炼")</f>
        <v>0.165</v>
      </c>
      <c r="O26" s="23">
        <f>SUMIFS(体育素质!L:L,体育素质!B:B,B26,体育素质!D:D,"=校内外体育活动",体育素质!E:E,"=校园跑")</f>
        <v>0.181708333333333</v>
      </c>
      <c r="P26" s="23">
        <f t="shared" si="2"/>
        <v>0.346708333333333</v>
      </c>
      <c r="Q26" s="23">
        <f t="shared" si="3"/>
        <v>4.27170833333333</v>
      </c>
      <c r="R26" s="23">
        <f>MIN(0.5,SUMIFS(美育素质!L:L,美育素质!B:B,B26,美育素质!D:D,"=文化艺术实践"))</f>
        <v>0</v>
      </c>
      <c r="S26" s="23">
        <f>SUMIFS(美育素质!L:L,美育素质!B:B,B26,美育素质!D:D,"=校内外文化艺术竞赛")</f>
        <v>0</v>
      </c>
      <c r="T26" s="23">
        <f t="shared" si="4"/>
        <v>0</v>
      </c>
      <c r="U26" s="23">
        <f>MAX(0,SUMIFS(劳育素质!K:K,劳育素质!B:B,B26,劳育素质!D:D,"=劳动日常考核基础分")+SUMIFS(劳育素质!K:K,劳育素质!B:B,B26,劳育素质!D:D,"=活动与卫生加减分"))</f>
        <v>1.5532</v>
      </c>
      <c r="V26" s="23">
        <f>SUMIFS(劳育素质!K:K,劳育素质!B:B,B26,劳育素质!D:D,"=志愿服务",劳育素质!F:F,"=A类+B类")</f>
        <v>3</v>
      </c>
      <c r="W26" s="23">
        <f>SUMIFS(劳育素质!K:K,劳育素质!B:B,B26,劳育素质!D:D,"=志愿服务",劳育素质!F:F,"=C类")</f>
        <v>0</v>
      </c>
      <c r="X26" s="23">
        <f t="shared" si="5"/>
        <v>3</v>
      </c>
      <c r="Y26" s="23">
        <f>SUMIFS(劳育素质!K:K,劳育素质!B:B,B26,劳育素质!D:D,"=实习实训")</f>
        <v>0</v>
      </c>
      <c r="Z26" s="23">
        <f t="shared" si="6"/>
        <v>4.5532</v>
      </c>
      <c r="AA26" s="23">
        <f>SUMIFS(创新与实践素质!L:L,创新与实践素质!B:B,B26,创新与实践素质!D:D,"=创新创业素质")</f>
        <v>0</v>
      </c>
      <c r="AB26" s="23">
        <f>SUMIFS(创新与实践素质!L:L,创新与实践素质!B:B,B26,创新与实践素质!D:D,"=水平考试")</f>
        <v>0</v>
      </c>
      <c r="AC26" s="23">
        <f>SUMIFS(创新与实践素质!L:L,创新与实践素质!B:B,B26,创新与实践素质!D:D,"=社会实践")</f>
        <v>0.175</v>
      </c>
      <c r="AD26" s="23">
        <f>_xlfn.MAXIFS(创新与实践素质!L:L,创新与实践素质!B:B,B26,创新与实践素质!D:D,"=社会工作能力（工作表现）",创新与实践素质!G:G,"=上学期")+_xlfn.MAXIFS(创新与实践素质!L:L,创新与实践素质!B:B,B26,创新与实践素质!D:D,"=社会工作能力（工作表现）",创新与实践素质!G:G,"=下学期")</f>
        <v>1.4</v>
      </c>
      <c r="AE26" s="23">
        <f t="shared" si="7"/>
        <v>1.575</v>
      </c>
      <c r="AF26" s="23">
        <f t="shared" si="8"/>
        <v>70.2559083333333</v>
      </c>
    </row>
    <row r="27" spans="1:32">
      <c r="A27" s="4" t="s">
        <v>6</v>
      </c>
      <c r="B27" s="32" t="s">
        <v>30</v>
      </c>
      <c r="C27" s="4"/>
      <c r="D27" s="23">
        <f>SUMIFS(德育素质!H:H,德育素质!B:B,B27,德育素质!D:D,"=基本评定分")</f>
        <v>5.28</v>
      </c>
      <c r="E27" s="23">
        <f>MIN(2,SUMIFS(德育素质!H:H,德育素质!A:A,A27,德育素质!D:D,"=集体评定等级分",德育素质!E:E,"=班级考评等级")+SUMIFS(德育素质!H:H,德育素质!B:B,B27,德育素质!D:D,"=集体评定等级分"))</f>
        <v>2</v>
      </c>
      <c r="F27" s="23">
        <f>MIN(2,SUMIFS(德育素质!H:H,德育素质!B:B,B27,德育素质!D:D,"=社会责任记实分"))</f>
        <v>0.4</v>
      </c>
      <c r="G27" s="5">
        <f>SUMIFS(德育素质!H:H,德育素质!B:B,B27,德育素质!D:D,"=违纪违规扣分")</f>
        <v>0</v>
      </c>
      <c r="H27" s="5">
        <f>SUMIFS(德育素质!H:H,德育素质!B:B,B27,德育素质!D:D,"=荣誉称号加分")</f>
        <v>0</v>
      </c>
      <c r="I27" s="5">
        <f t="shared" si="0"/>
        <v>2.4</v>
      </c>
      <c r="J27" s="23">
        <f t="shared" si="1"/>
        <v>7.68</v>
      </c>
      <c r="K27" s="23">
        <f>(VLOOKUP(B27,智育素质!B:D,3,0)*10+50)*0.6</f>
        <v>53.004</v>
      </c>
      <c r="L27" s="23">
        <f>SUMIFS(体育素质!J:J,体育素质!B:B,B27,体育素质!D:D,"=体育课程成绩",体育素质!E:E,"=体育成绩")/40</f>
        <v>4.5</v>
      </c>
      <c r="M27" s="23">
        <f>SUMIFS(体育素质!L:L,体育素质!B:B,B27,体育素质!D:D,"=校内外体育竞赛")</f>
        <v>0</v>
      </c>
      <c r="N27" s="23">
        <f>SUMIFS(体育素质!L:L,体育素质!B:B,B27,体育素质!D:D,"=校内外体育活动",体育素质!E:E,"=早锻炼")</f>
        <v>0.2</v>
      </c>
      <c r="O27" s="23">
        <f>SUMIFS(体育素质!L:L,体育素质!B:B,B27,体育素质!D:D,"=校内外体育活动",体育素质!E:E,"=校园跑")</f>
        <v>0.6</v>
      </c>
      <c r="P27" s="23">
        <f t="shared" si="2"/>
        <v>0.8</v>
      </c>
      <c r="Q27" s="23">
        <f t="shared" si="3"/>
        <v>5.3</v>
      </c>
      <c r="R27" s="23">
        <f>MIN(0.5,SUMIFS(美育素质!L:L,美育素质!B:B,B27,美育素质!D:D,"=文化艺术实践"))</f>
        <v>0</v>
      </c>
      <c r="S27" s="23">
        <f>SUMIFS(美育素质!L:L,美育素质!B:B,B27,美育素质!D:D,"=校内外文化艺术竞赛")</f>
        <v>0</v>
      </c>
      <c r="T27" s="23">
        <f t="shared" si="4"/>
        <v>0</v>
      </c>
      <c r="U27" s="23">
        <f>MAX(0,SUMIFS(劳育素质!K:K,劳育素质!B:B,B27,劳育素质!D:D,"=劳动日常考核基础分")+SUMIFS(劳育素质!K:K,劳育素质!B:B,B27,劳育素质!D:D,"=活动与卫生加减分"))</f>
        <v>1.5532</v>
      </c>
      <c r="V27" s="23">
        <f>SUMIFS(劳育素质!K:K,劳育素质!B:B,B27,劳育素质!D:D,"=志愿服务",劳育素质!F:F,"=A类+B类")</f>
        <v>1.1</v>
      </c>
      <c r="W27" s="23">
        <f>SUMIFS(劳育素质!K:K,劳育素质!B:B,B27,劳育素质!D:D,"=志愿服务",劳育素质!F:F,"=C类")</f>
        <v>0</v>
      </c>
      <c r="X27" s="23">
        <f t="shared" si="5"/>
        <v>1.1</v>
      </c>
      <c r="Y27" s="23">
        <f>SUMIFS(劳育素质!K:K,劳育素质!B:B,B27,劳育素质!D:D,"=实习实训")</f>
        <v>0</v>
      </c>
      <c r="Z27" s="23">
        <f t="shared" si="6"/>
        <v>2.6532</v>
      </c>
      <c r="AA27" s="23">
        <f>SUMIFS(创新与实践素质!L:L,创新与实践素质!B:B,B27,创新与实践素质!D:D,"=创新创业素质")</f>
        <v>0.9</v>
      </c>
      <c r="AB27" s="23">
        <f>SUMIFS(创新与实践素质!L:L,创新与实践素质!B:B,B27,创新与实践素质!D:D,"=水平考试")</f>
        <v>1.56</v>
      </c>
      <c r="AC27" s="23">
        <f>SUMIFS(创新与实践素质!L:L,创新与实践素质!B:B,B27,创新与实践素质!D:D,"=社会实践")</f>
        <v>0</v>
      </c>
      <c r="AD27" s="23">
        <f>_xlfn.MAXIFS(创新与实践素质!L:L,创新与实践素质!B:B,B27,创新与实践素质!D:D,"=社会工作能力（工作表现）",创新与实践素质!G:G,"=上学期")+_xlfn.MAXIFS(创新与实践素质!L:L,创新与实践素质!B:B,B27,创新与实践素质!D:D,"=社会工作能力（工作表现）",创新与实践素质!G:G,"=下学期")</f>
        <v>0</v>
      </c>
      <c r="AE27" s="23">
        <f t="shared" si="7"/>
        <v>2.46</v>
      </c>
      <c r="AF27" s="23">
        <f t="shared" si="8"/>
        <v>71.0972</v>
      </c>
    </row>
    <row r="28" spans="1:32">
      <c r="A28" s="4" t="s">
        <v>6</v>
      </c>
      <c r="B28" s="32" t="s">
        <v>31</v>
      </c>
      <c r="C28" s="4"/>
      <c r="D28" s="23">
        <f>SUMIFS(德育素质!H:H,德育素质!B:B,B28,德育素质!D:D,"=基本评定分")</f>
        <v>5.28</v>
      </c>
      <c r="E28" s="23">
        <f>MIN(2,SUMIFS(德育素质!H:H,德育素质!A:A,A28,德育素质!D:D,"=集体评定等级分",德育素质!E:E,"=班级考评等级")+SUMIFS(德育素质!H:H,德育素质!B:B,B28,德育素质!D:D,"=集体评定等级分"))</f>
        <v>2</v>
      </c>
      <c r="F28" s="23">
        <f>MIN(2,SUMIFS(德育素质!H:H,德育素质!B:B,B28,德育素质!D:D,"=社会责任记实分"))</f>
        <v>0.1</v>
      </c>
      <c r="G28" s="5">
        <f>SUMIFS(德育素质!H:H,德育素质!B:B,B28,德育素质!D:D,"=违纪违规扣分")</f>
        <v>0</v>
      </c>
      <c r="H28" s="5">
        <f>SUMIFS(德育素质!H:H,德育素质!B:B,B28,德育素质!D:D,"=荣誉称号加分")</f>
        <v>0</v>
      </c>
      <c r="I28" s="5">
        <f t="shared" si="0"/>
        <v>2.1</v>
      </c>
      <c r="J28" s="23">
        <f t="shared" si="1"/>
        <v>7.38</v>
      </c>
      <c r="K28" s="23">
        <f>(VLOOKUP(B28,智育素质!B:D,3,0)*10+50)*0.6</f>
        <v>55.836</v>
      </c>
      <c r="L28" s="23">
        <f>SUMIFS(体育素质!J:J,体育素质!B:B,B28,体育素质!D:D,"=体育课程成绩",体育素质!E:E,"=体育成绩")/40</f>
        <v>4.4</v>
      </c>
      <c r="M28" s="23">
        <f>SUMIFS(体育素质!L:L,体育素质!B:B,B28,体育素质!D:D,"=校内外体育竞赛")</f>
        <v>0</v>
      </c>
      <c r="N28" s="23">
        <f>SUMIFS(体育素质!L:L,体育素质!B:B,B28,体育素质!D:D,"=校内外体育活动",体育素质!E:E,"=早锻炼")</f>
        <v>0.2</v>
      </c>
      <c r="O28" s="23">
        <f>SUMIFS(体育素质!L:L,体育素质!B:B,B28,体育素质!D:D,"=校内外体育活动",体育素质!E:E,"=校园跑")</f>
        <v>0.6</v>
      </c>
      <c r="P28" s="23">
        <f t="shared" si="2"/>
        <v>0.8</v>
      </c>
      <c r="Q28" s="23">
        <f t="shared" si="3"/>
        <v>5.2</v>
      </c>
      <c r="R28" s="23">
        <f>MIN(0.5,SUMIFS(美育素质!L:L,美育素质!B:B,B28,美育素质!D:D,"=文化艺术实践"))</f>
        <v>0</v>
      </c>
      <c r="S28" s="23">
        <f>SUMIFS(美育素质!L:L,美育素质!B:B,B28,美育素质!D:D,"=校内外文化艺术竞赛")</f>
        <v>2</v>
      </c>
      <c r="T28" s="23">
        <f t="shared" si="4"/>
        <v>2</v>
      </c>
      <c r="U28" s="23">
        <f>MAX(0,SUMIFS(劳育素质!K:K,劳育素质!B:B,B28,劳育素质!D:D,"=劳动日常考核基础分")+SUMIFS(劳育素质!K:K,劳育素质!B:B,B28,劳育素质!D:D,"=活动与卫生加减分"))</f>
        <v>1.51686666666667</v>
      </c>
      <c r="V28" s="23">
        <f>SUMIFS(劳育素质!K:K,劳育素质!B:B,B28,劳育素质!D:D,"=志愿服务",劳育素质!F:F,"=A类+B类")</f>
        <v>3</v>
      </c>
      <c r="W28" s="23">
        <f>SUMIFS(劳育素质!K:K,劳育素质!B:B,B28,劳育素质!D:D,"=志愿服务",劳育素质!F:F,"=C类")</f>
        <v>0</v>
      </c>
      <c r="X28" s="23">
        <f t="shared" si="5"/>
        <v>3</v>
      </c>
      <c r="Y28" s="23">
        <f>SUMIFS(劳育素质!K:K,劳育素质!B:B,B28,劳育素质!D:D,"=实习实训")</f>
        <v>0</v>
      </c>
      <c r="Z28" s="23">
        <f t="shared" si="6"/>
        <v>4.51686666666667</v>
      </c>
      <c r="AA28" s="23">
        <f>SUMIFS(创新与实践素质!L:L,创新与实践素质!B:B,B28,创新与实践素质!D:D,"=创新创业素质")</f>
        <v>12.45</v>
      </c>
      <c r="AB28" s="23">
        <f>SUMIFS(创新与实践素质!L:L,创新与实践素质!B:B,B28,创新与实践素质!D:D,"=水平考试")</f>
        <v>0</v>
      </c>
      <c r="AC28" s="23">
        <f>SUMIFS(创新与实践素质!L:L,创新与实践素质!B:B,B28,创新与实践素质!D:D,"=社会实践")</f>
        <v>0</v>
      </c>
      <c r="AD28" s="23">
        <f>_xlfn.MAXIFS(创新与实践素质!L:L,创新与实践素质!B:B,B28,创新与实践素质!D:D,"=社会工作能力（工作表现）",创新与实践素质!G:G,"=上学期")+_xlfn.MAXIFS(创新与实践素质!L:L,创新与实践素质!B:B,B28,创新与实践素质!D:D,"=社会工作能力（工作表现）",创新与实践素质!G:G,"=下学期")</f>
        <v>0</v>
      </c>
      <c r="AE28" s="23">
        <f t="shared" si="7"/>
        <v>12</v>
      </c>
      <c r="AF28" s="23">
        <f t="shared" si="8"/>
        <v>86.9328666666667</v>
      </c>
    </row>
    <row r="29" spans="1:32">
      <c r="A29" s="4" t="s">
        <v>6</v>
      </c>
      <c r="B29" s="32" t="s">
        <v>32</v>
      </c>
      <c r="C29" s="4"/>
      <c r="D29" s="23">
        <f>SUMIFS(德育素质!H:H,德育素质!B:B,B29,德育素质!D:D,"=基本评定分")</f>
        <v>5.28</v>
      </c>
      <c r="E29" s="23">
        <f>MIN(2,SUMIFS(德育素质!H:H,德育素质!A:A,A29,德育素质!D:D,"=集体评定等级分",德育素质!E:E,"=班级考评等级")+SUMIFS(德育素质!H:H,德育素质!B:B,B29,德育素质!D:D,"=集体评定等级分"))</f>
        <v>2</v>
      </c>
      <c r="F29" s="23">
        <f>MIN(2,SUMIFS(德育素质!H:H,德育素质!B:B,B29,德育素质!D:D,"=社会责任记实分"))</f>
        <v>0.1</v>
      </c>
      <c r="G29" s="5">
        <f>SUMIFS(德育素质!H:H,德育素质!B:B,B29,德育素质!D:D,"=违纪违规扣分")</f>
        <v>0</v>
      </c>
      <c r="H29" s="5">
        <f>SUMIFS(德育素质!H:H,德育素质!B:B,B29,德育素质!D:D,"=荣誉称号加分")</f>
        <v>0</v>
      </c>
      <c r="I29" s="5">
        <f t="shared" si="0"/>
        <v>2.1</v>
      </c>
      <c r="J29" s="23">
        <f t="shared" si="1"/>
        <v>7.38</v>
      </c>
      <c r="K29" s="23">
        <f>(VLOOKUP(B29,智育素质!B:D,3,0)*10+50)*0.6</f>
        <v>53.262</v>
      </c>
      <c r="L29" s="23">
        <f>SUMIFS(体育素质!J:J,体育素质!B:B,B29,体育素质!D:D,"=体育课程成绩",体育素质!E:E,"=体育成绩")/40</f>
        <v>4.025</v>
      </c>
      <c r="M29" s="23">
        <f>SUMIFS(体育素质!L:L,体育素质!B:B,B29,体育素质!D:D,"=校内外体育竞赛")</f>
        <v>0</v>
      </c>
      <c r="N29" s="23">
        <f>SUMIFS(体育素质!L:L,体育素质!B:B,B29,体育素质!D:D,"=校内外体育活动",体育素质!E:E,"=早锻炼")</f>
        <v>0.2</v>
      </c>
      <c r="O29" s="23">
        <f>SUMIFS(体育素质!L:L,体育素质!B:B,B29,体育素质!D:D,"=校内外体育活动",体育素质!E:E,"=校园跑")</f>
        <v>0.6</v>
      </c>
      <c r="P29" s="23">
        <f t="shared" si="2"/>
        <v>0.8</v>
      </c>
      <c r="Q29" s="23">
        <f t="shared" si="3"/>
        <v>4.825</v>
      </c>
      <c r="R29" s="23">
        <f>MIN(0.5,SUMIFS(美育素质!L:L,美育素质!B:B,B29,美育素质!D:D,"=文化艺术实践"))</f>
        <v>0</v>
      </c>
      <c r="S29" s="23">
        <f>SUMIFS(美育素质!L:L,美育素质!B:B,B29,美育素质!D:D,"=校内外文化艺术竞赛")</f>
        <v>0</v>
      </c>
      <c r="T29" s="23">
        <f t="shared" si="4"/>
        <v>0</v>
      </c>
      <c r="U29" s="23">
        <f>MAX(0,SUMIFS(劳育素质!K:K,劳育素质!B:B,B29,劳育素质!D:D,"=劳动日常考核基础分")+SUMIFS(劳育素质!K:K,劳育素质!B:B,B29,劳育素质!D:D,"=活动与卫生加减分"))</f>
        <v>1.51686666666667</v>
      </c>
      <c r="V29" s="23">
        <f>SUMIFS(劳育素质!K:K,劳育素质!B:B,B29,劳育素质!D:D,"=志愿服务",劳育素质!F:F,"=A类+B类")</f>
        <v>0.325</v>
      </c>
      <c r="W29" s="23">
        <f>SUMIFS(劳育素质!K:K,劳育素质!B:B,B29,劳育素质!D:D,"=志愿服务",劳育素质!F:F,"=C类")</f>
        <v>0.15</v>
      </c>
      <c r="X29" s="23">
        <f t="shared" si="5"/>
        <v>0.475</v>
      </c>
      <c r="Y29" s="23">
        <f>SUMIFS(劳育素质!K:K,劳育素质!B:B,B29,劳育素质!D:D,"=实习实训")</f>
        <v>0</v>
      </c>
      <c r="Z29" s="23">
        <f t="shared" si="6"/>
        <v>1.99186666666667</v>
      </c>
      <c r="AA29" s="23">
        <f>SUMIFS(创新与实践素质!L:L,创新与实践素质!B:B,B29,创新与实践素质!D:D,"=创新创业素质")</f>
        <v>2.8</v>
      </c>
      <c r="AB29" s="23">
        <f>SUMIFS(创新与实践素质!L:L,创新与实践素质!B:B,B29,创新与实践素质!D:D,"=水平考试")</f>
        <v>0</v>
      </c>
      <c r="AC29" s="23">
        <f>SUMIFS(创新与实践素质!L:L,创新与实践素质!B:B,B29,创新与实践素质!D:D,"=社会实践")</f>
        <v>0</v>
      </c>
      <c r="AD29" s="23">
        <f>_xlfn.MAXIFS(创新与实践素质!L:L,创新与实践素质!B:B,B29,创新与实践素质!D:D,"=社会工作能力（工作表现）",创新与实践素质!G:G,"=上学期")+_xlfn.MAXIFS(创新与实践素质!L:L,创新与实践素质!B:B,B29,创新与实践素质!D:D,"=社会工作能力（工作表现）",创新与实践素质!G:G,"=下学期")</f>
        <v>0</v>
      </c>
      <c r="AE29" s="23">
        <f t="shared" si="7"/>
        <v>2.8</v>
      </c>
      <c r="AF29" s="23">
        <f t="shared" si="8"/>
        <v>70.2588666666667</v>
      </c>
    </row>
    <row r="30" spans="1:32">
      <c r="A30" s="4" t="s">
        <v>6</v>
      </c>
      <c r="B30" s="32" t="s">
        <v>33</v>
      </c>
      <c r="C30" s="4"/>
      <c r="D30" s="23">
        <f>SUMIFS(德育素质!H:H,德育素质!B:B,B30,德育素质!D:D,"=基本评定分")</f>
        <v>5.28</v>
      </c>
      <c r="E30" s="23">
        <f>MIN(2,SUMIFS(德育素质!H:H,德育素质!A:A,A30,德育素质!D:D,"=集体评定等级分",德育素质!E:E,"=班级考评等级")+SUMIFS(德育素质!H:H,德育素质!B:B,B30,德育素质!D:D,"=集体评定等级分"))</f>
        <v>2</v>
      </c>
      <c r="F30" s="23">
        <f>MIN(2,SUMIFS(德育素质!H:H,德育素质!B:B,B30,德育素质!D:D,"=社会责任记实分"))</f>
        <v>0</v>
      </c>
      <c r="G30" s="5">
        <f>SUMIFS(德育素质!H:H,德育素质!B:B,B30,德育素质!D:D,"=违纪违规扣分")</f>
        <v>0</v>
      </c>
      <c r="H30" s="5">
        <f>SUMIFS(德育素质!H:H,德育素质!B:B,B30,德育素质!D:D,"=荣誉称号加分")</f>
        <v>0</v>
      </c>
      <c r="I30" s="5">
        <f t="shared" si="0"/>
        <v>2</v>
      </c>
      <c r="J30" s="23">
        <f t="shared" si="1"/>
        <v>7.28</v>
      </c>
      <c r="K30" s="23">
        <f>(VLOOKUP(B30,智育素质!B:D,3,0)*10+50)*0.6</f>
        <v>52.2</v>
      </c>
      <c r="L30" s="23">
        <f>SUMIFS(体育素质!J:J,体育素质!B:B,B30,体育素质!D:D,"=体育课程成绩",体育素质!E:E,"=体育成绩")/40</f>
        <v>3.85</v>
      </c>
      <c r="M30" s="23">
        <f>SUMIFS(体育素质!L:L,体育素质!B:B,B30,体育素质!D:D,"=校内外体育竞赛")</f>
        <v>0</v>
      </c>
      <c r="N30" s="23">
        <f>SUMIFS(体育素质!L:L,体育素质!B:B,B30,体育素质!D:D,"=校内外体育活动",体育素质!E:E,"=早锻炼")</f>
        <v>0.17</v>
      </c>
      <c r="O30" s="23">
        <f>SUMIFS(体育素质!L:L,体育素质!B:B,B30,体育素质!D:D,"=校内外体育活动",体育素质!E:E,"=校园跑")</f>
        <v>0.549791666666667</v>
      </c>
      <c r="P30" s="23">
        <f t="shared" si="2"/>
        <v>0.719791666666667</v>
      </c>
      <c r="Q30" s="23">
        <f t="shared" si="3"/>
        <v>4.56979166666667</v>
      </c>
      <c r="R30" s="23">
        <f>MIN(0.5,SUMIFS(美育素质!L:L,美育素质!B:B,B30,美育素质!D:D,"=文化艺术实践"))</f>
        <v>0</v>
      </c>
      <c r="S30" s="23">
        <f>SUMIFS(美育素质!L:L,美育素质!B:B,B30,美育素质!D:D,"=校内外文化艺术竞赛")</f>
        <v>0</v>
      </c>
      <c r="T30" s="23">
        <f t="shared" si="4"/>
        <v>0</v>
      </c>
      <c r="U30" s="23">
        <f>MAX(0,SUMIFS(劳育素质!K:K,劳育素质!B:B,B30,劳育素质!D:D,"=劳动日常考核基础分")+SUMIFS(劳育素质!K:K,劳育素质!B:B,B30,劳育素质!D:D,"=活动与卫生加减分"))</f>
        <v>1.51686666666667</v>
      </c>
      <c r="V30" s="23">
        <f>SUMIFS(劳育素质!K:K,劳育素质!B:B,B30,劳育素质!D:D,"=志愿服务",劳育素质!F:F,"=A类+B类")</f>
        <v>3</v>
      </c>
      <c r="W30" s="23">
        <f>SUMIFS(劳育素质!K:K,劳育素质!B:B,B30,劳育素质!D:D,"=志愿服务",劳育素质!F:F,"=C类")</f>
        <v>0</v>
      </c>
      <c r="X30" s="23">
        <f t="shared" si="5"/>
        <v>3</v>
      </c>
      <c r="Y30" s="23">
        <f>SUMIFS(劳育素质!K:K,劳育素质!B:B,B30,劳育素质!D:D,"=实习实训")</f>
        <v>0</v>
      </c>
      <c r="Z30" s="23">
        <f t="shared" si="6"/>
        <v>4.51686666666667</v>
      </c>
      <c r="AA30" s="23">
        <f>SUMIFS(创新与实践素质!L:L,创新与实践素质!B:B,B30,创新与实践素质!D:D,"=创新创业素质")</f>
        <v>7.2</v>
      </c>
      <c r="AB30" s="23">
        <f>SUMIFS(创新与实践素质!L:L,创新与实践素质!B:B,B30,创新与实践素质!D:D,"=水平考试")</f>
        <v>0</v>
      </c>
      <c r="AC30" s="23">
        <f>SUMIFS(创新与实践素质!L:L,创新与实践素质!B:B,B30,创新与实践素质!D:D,"=社会实践")</f>
        <v>0</v>
      </c>
      <c r="AD30" s="23">
        <f>_xlfn.MAXIFS(创新与实践素质!L:L,创新与实践素质!B:B,B30,创新与实践素质!D:D,"=社会工作能力（工作表现）",创新与实践素质!G:G,"=上学期")+_xlfn.MAXIFS(创新与实践素质!L:L,创新与实践素质!B:B,B30,创新与实践素质!D:D,"=社会工作能力（工作表现）",创新与实践素质!G:G,"=下学期")</f>
        <v>0</v>
      </c>
      <c r="AE30" s="23">
        <f t="shared" si="7"/>
        <v>7.2</v>
      </c>
      <c r="AF30" s="23">
        <f t="shared" si="8"/>
        <v>75.7666583333333</v>
      </c>
    </row>
  </sheetData>
  <mergeCells count="28">
    <mergeCell ref="D1:J1"/>
    <mergeCell ref="L1:Q1"/>
    <mergeCell ref="R1:T1"/>
    <mergeCell ref="U1:Z1"/>
    <mergeCell ref="AA1:AE1"/>
    <mergeCell ref="E2:I2"/>
    <mergeCell ref="M2:P2"/>
    <mergeCell ref="V2:X2"/>
    <mergeCell ref="A1:A3"/>
    <mergeCell ref="B1:B3"/>
    <mergeCell ref="C1:C3"/>
    <mergeCell ref="D2:D3"/>
    <mergeCell ref="J2:J3"/>
    <mergeCell ref="K1:K3"/>
    <mergeCell ref="L2:L3"/>
    <mergeCell ref="Q2:Q3"/>
    <mergeCell ref="R2:R3"/>
    <mergeCell ref="S2:S3"/>
    <mergeCell ref="T2:T3"/>
    <mergeCell ref="U2:U3"/>
    <mergeCell ref="Y2:Y3"/>
    <mergeCell ref="Z2:Z3"/>
    <mergeCell ref="AA2:AA3"/>
    <mergeCell ref="AB2:AB3"/>
    <mergeCell ref="AC2:AC3"/>
    <mergeCell ref="AD2:AD3"/>
    <mergeCell ref="AE2:AE3"/>
    <mergeCell ref="AF1:AF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4"/>
  <sheetViews>
    <sheetView workbookViewId="0">
      <selection activeCell="D10" sqref="D10"/>
    </sheetView>
  </sheetViews>
  <sheetFormatPr defaultColWidth="9.18269230769231" defaultRowHeight="16.8" outlineLevelCol="7"/>
  <cols>
    <col min="1" max="1" width="41.1826923076923" style="1" customWidth="1"/>
    <col min="2" max="2" width="14.0865384615385" style="1" customWidth="1"/>
    <col min="3" max="3" width="13" style="1" customWidth="1"/>
    <col min="4" max="4" width="17.6346153846154" style="1" customWidth="1"/>
    <col min="5" max="5" width="79.8173076923077" style="1" customWidth="1"/>
    <col min="6" max="6" width="6" style="1" customWidth="1"/>
    <col min="7" max="7" width="8.08653846153846" style="1" customWidth="1"/>
    <col min="8" max="8" width="6" style="2" customWidth="1"/>
  </cols>
  <sheetData>
    <row r="1" spans="1:8">
      <c r="A1" s="4" t="s">
        <v>0</v>
      </c>
      <c r="B1" s="4" t="s">
        <v>1</v>
      </c>
      <c r="C1" s="4" t="s">
        <v>2</v>
      </c>
      <c r="D1" s="4" t="s">
        <v>69</v>
      </c>
      <c r="E1" s="4" t="s">
        <v>70</v>
      </c>
      <c r="F1" s="4" t="s">
        <v>71</v>
      </c>
      <c r="G1" s="4" t="s">
        <v>72</v>
      </c>
      <c r="H1" s="5" t="s">
        <v>73</v>
      </c>
    </row>
    <row r="2" spans="1:8">
      <c r="A2" s="4" t="s">
        <v>6</v>
      </c>
      <c r="B2" s="33" t="s">
        <v>31</v>
      </c>
      <c r="C2" s="4"/>
      <c r="D2" s="4" t="s">
        <v>74</v>
      </c>
      <c r="E2" s="4"/>
      <c r="F2" s="4" t="s">
        <v>75</v>
      </c>
      <c r="G2" s="4"/>
      <c r="H2" s="5">
        <v>5.28</v>
      </c>
    </row>
    <row r="3" spans="1:8">
      <c r="A3" s="4" t="s">
        <v>6</v>
      </c>
      <c r="B3" s="31" t="s">
        <v>31</v>
      </c>
      <c r="C3" s="4"/>
      <c r="D3" s="4" t="s">
        <v>76</v>
      </c>
      <c r="E3" s="4" t="s">
        <v>77</v>
      </c>
      <c r="F3" s="4" t="s">
        <v>78</v>
      </c>
      <c r="G3" s="4"/>
      <c r="H3" s="5">
        <v>0.25</v>
      </c>
    </row>
    <row r="4" spans="1:8">
      <c r="A4" s="4" t="s">
        <v>6</v>
      </c>
      <c r="B4" s="31" t="s">
        <v>31</v>
      </c>
      <c r="C4" s="4"/>
      <c r="D4" s="4" t="s">
        <v>79</v>
      </c>
      <c r="E4" s="4" t="s">
        <v>80</v>
      </c>
      <c r="F4" s="4" t="s">
        <v>78</v>
      </c>
      <c r="G4" s="4"/>
      <c r="H4" s="5">
        <v>0.1</v>
      </c>
    </row>
    <row r="5" spans="1:8">
      <c r="A5" s="4" t="s">
        <v>6</v>
      </c>
      <c r="B5" s="33" t="s">
        <v>33</v>
      </c>
      <c r="C5" s="4"/>
      <c r="D5" s="4" t="s">
        <v>74</v>
      </c>
      <c r="E5" s="4"/>
      <c r="F5" s="4" t="s">
        <v>75</v>
      </c>
      <c r="G5" s="4"/>
      <c r="H5" s="5">
        <v>5.28</v>
      </c>
    </row>
    <row r="6" spans="1:8">
      <c r="A6" s="4" t="s">
        <v>6</v>
      </c>
      <c r="B6" s="31" t="s">
        <v>33</v>
      </c>
      <c r="C6" s="4"/>
      <c r="D6" s="4" t="s">
        <v>76</v>
      </c>
      <c r="E6" s="4" t="s">
        <v>77</v>
      </c>
      <c r="F6" s="4" t="s">
        <v>78</v>
      </c>
      <c r="G6" s="4"/>
      <c r="H6" s="5">
        <v>0.25</v>
      </c>
    </row>
    <row r="7" spans="1:8">
      <c r="A7" s="4" t="s">
        <v>6</v>
      </c>
      <c r="B7" s="33" t="s">
        <v>32</v>
      </c>
      <c r="C7" s="4"/>
      <c r="D7" s="4" t="s">
        <v>74</v>
      </c>
      <c r="E7" s="4"/>
      <c r="F7" s="4" t="s">
        <v>75</v>
      </c>
      <c r="G7" s="4"/>
      <c r="H7" s="5">
        <v>5.28</v>
      </c>
    </row>
    <row r="8" spans="1:8">
      <c r="A8" s="4" t="s">
        <v>6</v>
      </c>
      <c r="B8" s="31" t="s">
        <v>32</v>
      </c>
      <c r="C8" s="4"/>
      <c r="D8" s="4" t="s">
        <v>76</v>
      </c>
      <c r="E8" s="4" t="s">
        <v>77</v>
      </c>
      <c r="F8" s="4" t="s">
        <v>78</v>
      </c>
      <c r="G8" s="4"/>
      <c r="H8" s="5">
        <v>0.25</v>
      </c>
    </row>
    <row r="9" spans="1:8">
      <c r="A9" s="4" t="s">
        <v>6</v>
      </c>
      <c r="B9" s="33" t="s">
        <v>32</v>
      </c>
      <c r="C9" s="4"/>
      <c r="D9" s="4" t="s">
        <v>79</v>
      </c>
      <c r="E9" s="4" t="s">
        <v>81</v>
      </c>
      <c r="F9" s="4"/>
      <c r="G9" s="4"/>
      <c r="H9" s="5">
        <v>0.1</v>
      </c>
    </row>
    <row r="10" spans="1:8">
      <c r="A10" s="4" t="s">
        <v>6</v>
      </c>
      <c r="B10" s="33" t="s">
        <v>7</v>
      </c>
      <c r="C10" s="4"/>
      <c r="D10" s="4" t="s">
        <v>74</v>
      </c>
      <c r="E10" s="4"/>
      <c r="F10" s="4" t="s">
        <v>75</v>
      </c>
      <c r="G10" s="4"/>
      <c r="H10" s="5">
        <v>5.28</v>
      </c>
    </row>
    <row r="11" spans="1:8">
      <c r="A11" s="4" t="s">
        <v>6</v>
      </c>
      <c r="B11" s="31" t="s">
        <v>7</v>
      </c>
      <c r="C11" s="4"/>
      <c r="D11" s="4" t="s">
        <v>76</v>
      </c>
      <c r="E11" s="4" t="s">
        <v>77</v>
      </c>
      <c r="F11" s="4" t="s">
        <v>78</v>
      </c>
      <c r="G11" s="4"/>
      <c r="H11" s="5">
        <v>0.25</v>
      </c>
    </row>
    <row r="12" spans="1:8">
      <c r="A12" s="4" t="s">
        <v>6</v>
      </c>
      <c r="B12" s="33" t="s">
        <v>8</v>
      </c>
      <c r="C12" s="4"/>
      <c r="D12" s="4" t="s">
        <v>74</v>
      </c>
      <c r="E12" s="4"/>
      <c r="F12" s="4" t="s">
        <v>75</v>
      </c>
      <c r="G12" s="4"/>
      <c r="H12" s="5">
        <v>5.28</v>
      </c>
    </row>
    <row r="13" spans="1:8">
      <c r="A13" s="4" t="s">
        <v>6</v>
      </c>
      <c r="B13" s="31" t="s">
        <v>8</v>
      </c>
      <c r="C13" s="4"/>
      <c r="D13" s="4" t="s">
        <v>76</v>
      </c>
      <c r="E13" s="4" t="s">
        <v>77</v>
      </c>
      <c r="F13" s="4" t="s">
        <v>78</v>
      </c>
      <c r="G13" s="4"/>
      <c r="H13" s="5">
        <v>0.25</v>
      </c>
    </row>
    <row r="14" spans="1:8">
      <c r="A14" s="4" t="s">
        <v>6</v>
      </c>
      <c r="B14" s="15" t="s">
        <v>8</v>
      </c>
      <c r="C14" s="12"/>
      <c r="D14" s="4" t="s">
        <v>79</v>
      </c>
      <c r="E14" s="4" t="s">
        <v>82</v>
      </c>
      <c r="F14" s="4" t="s">
        <v>83</v>
      </c>
      <c r="G14" s="4"/>
      <c r="H14" s="5">
        <v>0.25</v>
      </c>
    </row>
    <row r="15" spans="1:8">
      <c r="A15" s="4" t="s">
        <v>6</v>
      </c>
      <c r="B15" s="4" t="s">
        <v>8</v>
      </c>
      <c r="C15" s="4"/>
      <c r="D15" s="4" t="s">
        <v>79</v>
      </c>
      <c r="E15" s="4" t="s">
        <v>84</v>
      </c>
      <c r="F15" s="4" t="s">
        <v>83</v>
      </c>
      <c r="G15" s="4"/>
      <c r="H15" s="5">
        <v>0.25</v>
      </c>
    </row>
    <row r="16" spans="1:8">
      <c r="A16" s="4" t="s">
        <v>6</v>
      </c>
      <c r="B16" s="33" t="s">
        <v>9</v>
      </c>
      <c r="C16" s="4"/>
      <c r="D16" s="4" t="s">
        <v>74</v>
      </c>
      <c r="E16" s="4"/>
      <c r="F16" s="4" t="s">
        <v>75</v>
      </c>
      <c r="G16" s="4"/>
      <c r="H16" s="5">
        <v>5.28</v>
      </c>
    </row>
    <row r="17" spans="1:8">
      <c r="A17" s="4" t="s">
        <v>6</v>
      </c>
      <c r="B17" s="31" t="s">
        <v>9</v>
      </c>
      <c r="C17" s="4"/>
      <c r="D17" s="4" t="s">
        <v>76</v>
      </c>
      <c r="E17" s="4" t="s">
        <v>77</v>
      </c>
      <c r="F17" s="4" t="s">
        <v>78</v>
      </c>
      <c r="G17" s="4"/>
      <c r="H17" s="5">
        <v>0.25</v>
      </c>
    </row>
    <row r="18" spans="1:8">
      <c r="A18" s="4" t="s">
        <v>6</v>
      </c>
      <c r="B18" s="4" t="s">
        <v>9</v>
      </c>
      <c r="C18" s="4"/>
      <c r="D18" s="4" t="s">
        <v>79</v>
      </c>
      <c r="E18" s="12" t="s">
        <v>85</v>
      </c>
      <c r="F18" s="4" t="s">
        <v>78</v>
      </c>
      <c r="G18" s="4"/>
      <c r="H18" s="5">
        <v>0.1</v>
      </c>
    </row>
    <row r="19" spans="1:8">
      <c r="A19" s="4" t="s">
        <v>6</v>
      </c>
      <c r="B19" s="33" t="s">
        <v>10</v>
      </c>
      <c r="C19" s="4"/>
      <c r="D19" s="4" t="s">
        <v>74</v>
      </c>
      <c r="E19" s="4"/>
      <c r="F19" s="4" t="s">
        <v>75</v>
      </c>
      <c r="G19" s="4"/>
      <c r="H19" s="5">
        <v>5.28</v>
      </c>
    </row>
    <row r="20" spans="1:8">
      <c r="A20" s="4" t="s">
        <v>6</v>
      </c>
      <c r="B20" s="31" t="s">
        <v>10</v>
      </c>
      <c r="C20" s="4"/>
      <c r="D20" s="4" t="s">
        <v>76</v>
      </c>
      <c r="E20" s="4" t="s">
        <v>77</v>
      </c>
      <c r="F20" s="4" t="s">
        <v>78</v>
      </c>
      <c r="G20" s="4"/>
      <c r="H20" s="5">
        <v>0.25</v>
      </c>
    </row>
    <row r="21" spans="1:8">
      <c r="A21" s="4" t="s">
        <v>6</v>
      </c>
      <c r="B21" s="33" t="s">
        <v>11</v>
      </c>
      <c r="C21" s="4"/>
      <c r="D21" s="4" t="s">
        <v>74</v>
      </c>
      <c r="E21" s="4"/>
      <c r="F21" s="4" t="s">
        <v>75</v>
      </c>
      <c r="G21" s="4"/>
      <c r="H21" s="5">
        <v>5.28</v>
      </c>
    </row>
    <row r="22" spans="1:8">
      <c r="A22" s="4" t="s">
        <v>6</v>
      </c>
      <c r="B22" s="31" t="s">
        <v>11</v>
      </c>
      <c r="C22" s="4"/>
      <c r="D22" s="4" t="s">
        <v>76</v>
      </c>
      <c r="E22" s="4" t="s">
        <v>77</v>
      </c>
      <c r="F22" s="4" t="s">
        <v>78</v>
      </c>
      <c r="G22" s="4"/>
      <c r="H22" s="5">
        <v>0.25</v>
      </c>
    </row>
    <row r="23" spans="1:8">
      <c r="A23" s="4" t="s">
        <v>6</v>
      </c>
      <c r="B23" s="33" t="s">
        <v>11</v>
      </c>
      <c r="C23" s="4"/>
      <c r="D23" s="4" t="s">
        <v>76</v>
      </c>
      <c r="E23" s="4" t="s">
        <v>86</v>
      </c>
      <c r="F23" s="4"/>
      <c r="G23" s="4"/>
      <c r="H23" s="5">
        <v>0.5</v>
      </c>
    </row>
    <row r="24" spans="1:8">
      <c r="A24" s="4" t="s">
        <v>6</v>
      </c>
      <c r="B24" s="33" t="s">
        <v>11</v>
      </c>
      <c r="C24" s="4"/>
      <c r="D24" s="4" t="s">
        <v>62</v>
      </c>
      <c r="E24" s="4" t="s">
        <v>87</v>
      </c>
      <c r="F24" s="4"/>
      <c r="G24" s="4"/>
      <c r="H24" s="5">
        <v>0.25</v>
      </c>
    </row>
    <row r="25" spans="1:8">
      <c r="A25" s="4" t="s">
        <v>6</v>
      </c>
      <c r="B25" s="4" t="s">
        <v>11</v>
      </c>
      <c r="C25" s="4"/>
      <c r="D25" s="4" t="s">
        <v>79</v>
      </c>
      <c r="E25" s="12" t="s">
        <v>88</v>
      </c>
      <c r="F25" s="4" t="s">
        <v>78</v>
      </c>
      <c r="G25" s="4"/>
      <c r="H25" s="5">
        <v>0.1</v>
      </c>
    </row>
    <row r="26" spans="1:8">
      <c r="A26" s="4" t="s">
        <v>6</v>
      </c>
      <c r="B26" s="33" t="s">
        <v>11</v>
      </c>
      <c r="C26" s="4"/>
      <c r="D26" s="4" t="s">
        <v>79</v>
      </c>
      <c r="E26" s="4" t="s">
        <v>89</v>
      </c>
      <c r="F26" s="4"/>
      <c r="G26" s="4"/>
      <c r="H26" s="5">
        <v>0.1</v>
      </c>
    </row>
    <row r="27" spans="1:8">
      <c r="A27" s="4" t="s">
        <v>6</v>
      </c>
      <c r="B27" s="33" t="s">
        <v>11</v>
      </c>
      <c r="C27" s="4"/>
      <c r="D27" s="4" t="s">
        <v>79</v>
      </c>
      <c r="E27" s="4" t="s">
        <v>90</v>
      </c>
      <c r="F27" s="4"/>
      <c r="G27" s="4"/>
      <c r="H27" s="5">
        <v>0.1</v>
      </c>
    </row>
    <row r="28" spans="1:8">
      <c r="A28" s="4" t="s">
        <v>6</v>
      </c>
      <c r="B28" s="33" t="s">
        <v>12</v>
      </c>
      <c r="C28" s="4"/>
      <c r="D28" s="4" t="s">
        <v>74</v>
      </c>
      <c r="E28" s="4"/>
      <c r="F28" s="4" t="s">
        <v>91</v>
      </c>
      <c r="G28" s="4"/>
      <c r="H28" s="5">
        <v>6</v>
      </c>
    </row>
    <row r="29" spans="1:8">
      <c r="A29" s="4" t="s">
        <v>6</v>
      </c>
      <c r="B29" s="31" t="s">
        <v>12</v>
      </c>
      <c r="C29" s="4"/>
      <c r="D29" s="4" t="s">
        <v>76</v>
      </c>
      <c r="E29" s="4" t="s">
        <v>77</v>
      </c>
      <c r="F29" s="4" t="s">
        <v>78</v>
      </c>
      <c r="G29" s="4"/>
      <c r="H29" s="5">
        <v>0.25</v>
      </c>
    </row>
    <row r="30" spans="1:8">
      <c r="A30" s="4" t="s">
        <v>6</v>
      </c>
      <c r="B30" s="33" t="s">
        <v>13</v>
      </c>
      <c r="C30" s="4"/>
      <c r="D30" s="4" t="s">
        <v>74</v>
      </c>
      <c r="E30" s="4"/>
      <c r="F30" s="4" t="s">
        <v>75</v>
      </c>
      <c r="G30" s="4"/>
      <c r="H30" s="5">
        <v>5.28</v>
      </c>
    </row>
    <row r="31" spans="1:8">
      <c r="A31" s="4" t="s">
        <v>6</v>
      </c>
      <c r="B31" s="31" t="s">
        <v>13</v>
      </c>
      <c r="C31" s="4"/>
      <c r="D31" s="4" t="s">
        <v>76</v>
      </c>
      <c r="E31" s="4" t="s">
        <v>77</v>
      </c>
      <c r="F31" s="4" t="s">
        <v>78</v>
      </c>
      <c r="G31" s="4"/>
      <c r="H31" s="5">
        <v>0.25</v>
      </c>
    </row>
    <row r="32" spans="1:8">
      <c r="A32" s="4" t="s">
        <v>6</v>
      </c>
      <c r="B32" s="4" t="s">
        <v>13</v>
      </c>
      <c r="C32" s="4"/>
      <c r="D32" s="4" t="s">
        <v>62</v>
      </c>
      <c r="E32" s="4" t="s">
        <v>92</v>
      </c>
      <c r="F32" s="4" t="s">
        <v>78</v>
      </c>
      <c r="G32" s="4"/>
      <c r="H32" s="5">
        <v>0.25</v>
      </c>
    </row>
    <row r="33" spans="1:8">
      <c r="A33" s="4" t="s">
        <v>6</v>
      </c>
      <c r="B33" s="33" t="s">
        <v>13</v>
      </c>
      <c r="C33" s="4"/>
      <c r="D33" s="4" t="s">
        <v>62</v>
      </c>
      <c r="E33" s="4" t="s">
        <v>93</v>
      </c>
      <c r="F33" s="4"/>
      <c r="G33" s="4"/>
      <c r="H33" s="5">
        <v>0.25</v>
      </c>
    </row>
    <row r="34" spans="1:8">
      <c r="A34" s="4" t="s">
        <v>6</v>
      </c>
      <c r="B34" s="33" t="s">
        <v>13</v>
      </c>
      <c r="C34" s="4"/>
      <c r="D34" s="4" t="s">
        <v>62</v>
      </c>
      <c r="E34" s="4" t="s">
        <v>87</v>
      </c>
      <c r="F34" s="4"/>
      <c r="G34" s="4"/>
      <c r="H34" s="5">
        <v>0.25</v>
      </c>
    </row>
    <row r="35" spans="1:8">
      <c r="A35" s="4" t="s">
        <v>6</v>
      </c>
      <c r="B35" s="33" t="s">
        <v>13</v>
      </c>
      <c r="C35" s="4"/>
      <c r="D35" s="4" t="s">
        <v>62</v>
      </c>
      <c r="E35" s="4" t="s">
        <v>94</v>
      </c>
      <c r="F35" s="4" t="s">
        <v>78</v>
      </c>
      <c r="G35" s="4"/>
      <c r="H35" s="5">
        <v>0.25</v>
      </c>
    </row>
    <row r="36" spans="1:8">
      <c r="A36" s="4" t="s">
        <v>6</v>
      </c>
      <c r="B36" s="33" t="s">
        <v>13</v>
      </c>
      <c r="C36" s="4"/>
      <c r="D36" s="4" t="s">
        <v>79</v>
      </c>
      <c r="E36" s="4" t="s">
        <v>95</v>
      </c>
      <c r="F36" s="4"/>
      <c r="G36" s="4"/>
      <c r="H36" s="5">
        <v>0.1</v>
      </c>
    </row>
    <row r="37" spans="1:8">
      <c r="A37" s="4" t="s">
        <v>6</v>
      </c>
      <c r="B37" s="33" t="s">
        <v>13</v>
      </c>
      <c r="C37" s="4"/>
      <c r="D37" s="4" t="s">
        <v>79</v>
      </c>
      <c r="E37" s="4" t="s">
        <v>96</v>
      </c>
      <c r="F37" s="4"/>
      <c r="G37" s="4"/>
      <c r="H37" s="5">
        <v>0.1</v>
      </c>
    </row>
    <row r="38" spans="1:8">
      <c r="A38" s="4" t="s">
        <v>6</v>
      </c>
      <c r="B38" s="33" t="s">
        <v>13</v>
      </c>
      <c r="C38" s="4"/>
      <c r="D38" s="4" t="s">
        <v>79</v>
      </c>
      <c r="E38" s="4" t="s">
        <v>97</v>
      </c>
      <c r="F38" s="4"/>
      <c r="G38" s="4"/>
      <c r="H38" s="5">
        <v>0.1</v>
      </c>
    </row>
    <row r="39" spans="1:8">
      <c r="A39" s="4" t="s">
        <v>6</v>
      </c>
      <c r="B39" s="33" t="s">
        <v>14</v>
      </c>
      <c r="C39" s="4"/>
      <c r="D39" s="4" t="s">
        <v>74</v>
      </c>
      <c r="E39" s="4"/>
      <c r="F39" s="4" t="s">
        <v>75</v>
      </c>
      <c r="G39" s="4"/>
      <c r="H39" s="5">
        <v>5.28</v>
      </c>
    </row>
    <row r="40" spans="1:8">
      <c r="A40" s="4" t="s">
        <v>6</v>
      </c>
      <c r="B40" s="31" t="s">
        <v>14</v>
      </c>
      <c r="C40" s="4"/>
      <c r="D40" s="4" t="s">
        <v>76</v>
      </c>
      <c r="E40" s="4" t="s">
        <v>77</v>
      </c>
      <c r="F40" s="4" t="s">
        <v>78</v>
      </c>
      <c r="G40" s="4"/>
      <c r="H40" s="5">
        <v>0.25</v>
      </c>
    </row>
    <row r="41" spans="1:8">
      <c r="A41" s="4" t="s">
        <v>6</v>
      </c>
      <c r="B41" s="33" t="s">
        <v>15</v>
      </c>
      <c r="C41" s="4"/>
      <c r="D41" s="4" t="s">
        <v>74</v>
      </c>
      <c r="E41" s="4"/>
      <c r="F41" s="4" t="s">
        <v>91</v>
      </c>
      <c r="G41" s="4"/>
      <c r="H41" s="5">
        <v>6</v>
      </c>
    </row>
    <row r="42" spans="1:8">
      <c r="A42" s="4" t="s">
        <v>6</v>
      </c>
      <c r="B42" s="31" t="s">
        <v>15</v>
      </c>
      <c r="C42" s="4"/>
      <c r="D42" s="4" t="s">
        <v>76</v>
      </c>
      <c r="E42" s="4" t="s">
        <v>77</v>
      </c>
      <c r="F42" s="4" t="s">
        <v>78</v>
      </c>
      <c r="G42" s="4"/>
      <c r="H42" s="5">
        <v>0.5</v>
      </c>
    </row>
    <row r="43" spans="1:8">
      <c r="A43" s="4" t="s">
        <v>6</v>
      </c>
      <c r="B43" s="33" t="s">
        <v>15</v>
      </c>
      <c r="C43" s="4"/>
      <c r="D43" s="4" t="s">
        <v>62</v>
      </c>
      <c r="E43" s="4" t="s">
        <v>87</v>
      </c>
      <c r="F43" s="4"/>
      <c r="G43" s="4"/>
      <c r="H43" s="5">
        <v>0.25</v>
      </c>
    </row>
    <row r="44" spans="1:8">
      <c r="A44" s="4" t="s">
        <v>6</v>
      </c>
      <c r="B44" s="33" t="s">
        <v>15</v>
      </c>
      <c r="C44" s="4"/>
      <c r="D44" s="4" t="s">
        <v>62</v>
      </c>
      <c r="E44" s="4" t="s">
        <v>98</v>
      </c>
      <c r="F44" s="4"/>
      <c r="G44" s="4"/>
      <c r="H44" s="5">
        <v>0.375</v>
      </c>
    </row>
    <row r="45" spans="1:8">
      <c r="A45" s="4" t="s">
        <v>6</v>
      </c>
      <c r="B45" s="33" t="s">
        <v>15</v>
      </c>
      <c r="C45" s="4"/>
      <c r="D45" s="4" t="s">
        <v>62</v>
      </c>
      <c r="E45" s="4" t="s">
        <v>94</v>
      </c>
      <c r="F45" s="4" t="s">
        <v>83</v>
      </c>
      <c r="G45" s="4"/>
      <c r="H45" s="5">
        <v>0.375</v>
      </c>
    </row>
    <row r="46" spans="1:8">
      <c r="A46" s="4" t="s">
        <v>6</v>
      </c>
      <c r="B46" s="33" t="s">
        <v>15</v>
      </c>
      <c r="C46" s="4"/>
      <c r="D46" s="4" t="s">
        <v>79</v>
      </c>
      <c r="E46" s="4" t="s">
        <v>99</v>
      </c>
      <c r="F46" s="4" t="s">
        <v>78</v>
      </c>
      <c r="G46" s="4"/>
      <c r="H46" s="5">
        <v>0.2</v>
      </c>
    </row>
    <row r="47" spans="1:8">
      <c r="A47" s="4" t="s">
        <v>6</v>
      </c>
      <c r="B47" s="33" t="s">
        <v>16</v>
      </c>
      <c r="C47" s="4"/>
      <c r="D47" s="4" t="s">
        <v>74</v>
      </c>
      <c r="E47" s="4"/>
      <c r="F47" s="4" t="s">
        <v>75</v>
      </c>
      <c r="G47" s="4"/>
      <c r="H47" s="5">
        <v>5.28</v>
      </c>
    </row>
    <row r="48" spans="1:8">
      <c r="A48" s="4" t="s">
        <v>6</v>
      </c>
      <c r="B48" s="31" t="s">
        <v>16</v>
      </c>
      <c r="C48" s="4"/>
      <c r="D48" s="4" t="s">
        <v>76</v>
      </c>
      <c r="E48" s="4" t="s">
        <v>77</v>
      </c>
      <c r="F48" s="4" t="s">
        <v>78</v>
      </c>
      <c r="G48" s="4"/>
      <c r="H48" s="5">
        <v>0.25</v>
      </c>
    </row>
    <row r="49" spans="1:8">
      <c r="A49" s="4" t="s">
        <v>6</v>
      </c>
      <c r="B49" s="33" t="s">
        <v>17</v>
      </c>
      <c r="C49" s="4"/>
      <c r="D49" s="4" t="s">
        <v>74</v>
      </c>
      <c r="E49" s="4"/>
      <c r="F49" s="4" t="s">
        <v>75</v>
      </c>
      <c r="G49" s="4"/>
      <c r="H49" s="5">
        <v>5.28</v>
      </c>
    </row>
    <row r="50" spans="1:8">
      <c r="A50" s="4" t="s">
        <v>6</v>
      </c>
      <c r="B50" s="31" t="s">
        <v>17</v>
      </c>
      <c r="C50" s="4"/>
      <c r="D50" s="4" t="s">
        <v>76</v>
      </c>
      <c r="E50" s="4" t="s">
        <v>77</v>
      </c>
      <c r="F50" s="4" t="s">
        <v>78</v>
      </c>
      <c r="G50" s="4"/>
      <c r="H50" s="5">
        <v>0.25</v>
      </c>
    </row>
    <row r="51" spans="1:8">
      <c r="A51" s="4" t="s">
        <v>6</v>
      </c>
      <c r="B51" s="33" t="s">
        <v>18</v>
      </c>
      <c r="C51" s="4"/>
      <c r="D51" s="4" t="s">
        <v>74</v>
      </c>
      <c r="E51" s="4"/>
      <c r="F51" s="4" t="s">
        <v>75</v>
      </c>
      <c r="G51" s="4"/>
      <c r="H51" s="5">
        <v>5.28</v>
      </c>
    </row>
    <row r="52" spans="1:8">
      <c r="A52" s="4" t="s">
        <v>6</v>
      </c>
      <c r="B52" s="31" t="s">
        <v>18</v>
      </c>
      <c r="C52" s="4"/>
      <c r="D52" s="4" t="s">
        <v>76</v>
      </c>
      <c r="E52" s="4" t="s">
        <v>77</v>
      </c>
      <c r="F52" s="4" t="s">
        <v>78</v>
      </c>
      <c r="G52" s="4"/>
      <c r="H52" s="5">
        <v>0.25</v>
      </c>
    </row>
    <row r="53" spans="1:8">
      <c r="A53" s="4" t="s">
        <v>6</v>
      </c>
      <c r="B53" s="4" t="s">
        <v>18</v>
      </c>
      <c r="C53" s="4"/>
      <c r="D53" s="4" t="s">
        <v>61</v>
      </c>
      <c r="E53" s="4" t="s">
        <v>100</v>
      </c>
      <c r="F53" s="4"/>
      <c r="G53" s="4"/>
      <c r="H53" s="5">
        <v>-0.02</v>
      </c>
    </row>
    <row r="54" spans="1:8">
      <c r="A54" s="4" t="s">
        <v>6</v>
      </c>
      <c r="B54" s="33" t="s">
        <v>19</v>
      </c>
      <c r="C54" s="4"/>
      <c r="D54" s="4" t="s">
        <v>74</v>
      </c>
      <c r="E54" s="4"/>
      <c r="F54" s="4" t="s">
        <v>91</v>
      </c>
      <c r="G54" s="4"/>
      <c r="H54" s="5">
        <v>6</v>
      </c>
    </row>
    <row r="55" spans="1:8">
      <c r="A55" s="4" t="s">
        <v>6</v>
      </c>
      <c r="B55" s="33" t="s">
        <v>19</v>
      </c>
      <c r="C55" s="4"/>
      <c r="D55" s="4" t="s">
        <v>76</v>
      </c>
      <c r="E55" s="4" t="s">
        <v>101</v>
      </c>
      <c r="F55" s="4"/>
      <c r="G55" s="4"/>
      <c r="H55" s="5">
        <v>0.5</v>
      </c>
    </row>
    <row r="56" spans="1:8">
      <c r="A56" s="4" t="s">
        <v>6</v>
      </c>
      <c r="B56" s="31" t="s">
        <v>19</v>
      </c>
      <c r="C56" s="4"/>
      <c r="D56" s="4" t="s">
        <v>76</v>
      </c>
      <c r="E56" s="4" t="s">
        <v>77</v>
      </c>
      <c r="F56" s="4" t="s">
        <v>78</v>
      </c>
      <c r="G56" s="4"/>
      <c r="H56" s="5">
        <v>0.5</v>
      </c>
    </row>
    <row r="57" spans="1:8">
      <c r="A57" s="4" t="s">
        <v>6</v>
      </c>
      <c r="B57" s="4" t="s">
        <v>19</v>
      </c>
      <c r="C57" s="4"/>
      <c r="D57" s="4" t="s">
        <v>62</v>
      </c>
      <c r="E57" s="4" t="s">
        <v>92</v>
      </c>
      <c r="F57" s="4" t="s">
        <v>78</v>
      </c>
      <c r="G57" s="4"/>
      <c r="H57" s="5">
        <v>0.25</v>
      </c>
    </row>
    <row r="58" spans="1:8">
      <c r="A58" s="4" t="s">
        <v>6</v>
      </c>
      <c r="B58" s="33" t="s">
        <v>19</v>
      </c>
      <c r="C58" s="4"/>
      <c r="D58" s="4" t="s">
        <v>62</v>
      </c>
      <c r="E58" s="4" t="s">
        <v>102</v>
      </c>
      <c r="F58" s="4"/>
      <c r="G58" s="4"/>
      <c r="H58" s="5">
        <v>0.375</v>
      </c>
    </row>
    <row r="59" spans="1:8">
      <c r="A59" s="4" t="s">
        <v>6</v>
      </c>
      <c r="B59" s="33" t="s">
        <v>19</v>
      </c>
      <c r="C59" s="4"/>
      <c r="D59" s="4" t="s">
        <v>62</v>
      </c>
      <c r="E59" s="4" t="s">
        <v>103</v>
      </c>
      <c r="F59" s="4"/>
      <c r="G59" s="4"/>
      <c r="H59" s="5">
        <v>0.375</v>
      </c>
    </row>
    <row r="60" spans="1:8">
      <c r="A60" s="4" t="s">
        <v>6</v>
      </c>
      <c r="B60" s="33" t="s">
        <v>19</v>
      </c>
      <c r="C60" s="4"/>
      <c r="D60" s="4" t="s">
        <v>79</v>
      </c>
      <c r="E60" s="4" t="s">
        <v>104</v>
      </c>
      <c r="F60" s="4"/>
      <c r="G60" s="4"/>
      <c r="H60" s="5">
        <v>0.1</v>
      </c>
    </row>
    <row r="61" spans="1:8">
      <c r="A61" s="4" t="s">
        <v>6</v>
      </c>
      <c r="B61" s="33" t="s">
        <v>19</v>
      </c>
      <c r="C61" s="4"/>
      <c r="D61" s="4" t="s">
        <v>79</v>
      </c>
      <c r="E61" s="4" t="s">
        <v>105</v>
      </c>
      <c r="F61" s="4"/>
      <c r="G61" s="4"/>
      <c r="H61" s="5">
        <v>0.1</v>
      </c>
    </row>
    <row r="62" spans="1:8">
      <c r="A62" s="4" t="s">
        <v>6</v>
      </c>
      <c r="B62" s="33" t="s">
        <v>19</v>
      </c>
      <c r="C62" s="4"/>
      <c r="D62" s="4" t="s">
        <v>79</v>
      </c>
      <c r="E62" s="4" t="s">
        <v>106</v>
      </c>
      <c r="F62" s="4"/>
      <c r="G62" s="4"/>
      <c r="H62" s="5">
        <v>0.1</v>
      </c>
    </row>
    <row r="63" spans="1:8">
      <c r="A63" s="4" t="s">
        <v>6</v>
      </c>
      <c r="B63" s="33" t="s">
        <v>19</v>
      </c>
      <c r="C63" s="4"/>
      <c r="D63" s="4" t="s">
        <v>79</v>
      </c>
      <c r="E63" s="4" t="s">
        <v>107</v>
      </c>
      <c r="F63" s="4"/>
      <c r="G63" s="4"/>
      <c r="H63" s="5">
        <v>0.1</v>
      </c>
    </row>
    <row r="64" spans="1:8">
      <c r="A64" s="4" t="s">
        <v>6</v>
      </c>
      <c r="B64" s="33" t="s">
        <v>20</v>
      </c>
      <c r="C64" s="4"/>
      <c r="D64" s="4" t="s">
        <v>74</v>
      </c>
      <c r="E64" s="4"/>
      <c r="F64" s="4" t="s">
        <v>91</v>
      </c>
      <c r="G64" s="4"/>
      <c r="H64" s="5">
        <v>6</v>
      </c>
    </row>
    <row r="65" spans="1:8">
      <c r="A65" s="4" t="s">
        <v>6</v>
      </c>
      <c r="B65" s="31" t="s">
        <v>20</v>
      </c>
      <c r="C65" s="4"/>
      <c r="D65" s="4" t="s">
        <v>76</v>
      </c>
      <c r="E65" s="4" t="s">
        <v>77</v>
      </c>
      <c r="F65" s="4" t="s">
        <v>78</v>
      </c>
      <c r="G65" s="4"/>
      <c r="H65" s="5">
        <v>0.35</v>
      </c>
    </row>
    <row r="66" spans="1:8">
      <c r="A66" s="4" t="s">
        <v>6</v>
      </c>
      <c r="B66" s="31" t="s">
        <v>20</v>
      </c>
      <c r="C66" s="4"/>
      <c r="D66" s="4" t="s">
        <v>76</v>
      </c>
      <c r="E66" s="4" t="s">
        <v>108</v>
      </c>
      <c r="F66" s="4" t="s">
        <v>78</v>
      </c>
      <c r="G66" s="4"/>
      <c r="H66" s="5">
        <v>0.5</v>
      </c>
    </row>
    <row r="67" spans="1:8">
      <c r="A67" s="4" t="s">
        <v>6</v>
      </c>
      <c r="B67" s="33" t="s">
        <v>20</v>
      </c>
      <c r="C67" s="4"/>
      <c r="D67" s="4" t="s">
        <v>62</v>
      </c>
      <c r="E67" s="4" t="s">
        <v>87</v>
      </c>
      <c r="F67" s="4"/>
      <c r="G67" s="4"/>
      <c r="H67" s="5">
        <v>0.25</v>
      </c>
    </row>
    <row r="68" spans="1:8">
      <c r="A68" s="4" t="s">
        <v>6</v>
      </c>
      <c r="B68" s="33" t="s">
        <v>20</v>
      </c>
      <c r="C68" s="4"/>
      <c r="D68" s="4" t="s">
        <v>62</v>
      </c>
      <c r="E68" s="4" t="s">
        <v>109</v>
      </c>
      <c r="F68" s="4"/>
      <c r="G68" s="4"/>
      <c r="H68" s="5">
        <v>0.375</v>
      </c>
    </row>
    <row r="69" spans="1:8">
      <c r="A69" s="4" t="s">
        <v>6</v>
      </c>
      <c r="B69" s="33" t="s">
        <v>20</v>
      </c>
      <c r="C69" s="4"/>
      <c r="D69" s="4" t="s">
        <v>62</v>
      </c>
      <c r="E69" s="4" t="s">
        <v>94</v>
      </c>
      <c r="F69" s="4" t="s">
        <v>83</v>
      </c>
      <c r="G69" s="4"/>
      <c r="H69" s="5">
        <v>0.375</v>
      </c>
    </row>
    <row r="70" spans="1:8">
      <c r="A70" s="4" t="s">
        <v>6</v>
      </c>
      <c r="B70" s="33" t="s">
        <v>20</v>
      </c>
      <c r="C70" s="4"/>
      <c r="D70" s="4" t="s">
        <v>79</v>
      </c>
      <c r="E70" s="4" t="s">
        <v>110</v>
      </c>
      <c r="F70" s="4"/>
      <c r="G70" s="4"/>
      <c r="H70" s="5">
        <v>0.4</v>
      </c>
    </row>
    <row r="71" spans="1:8">
      <c r="A71" s="4" t="s">
        <v>6</v>
      </c>
      <c r="B71" s="33" t="s">
        <v>21</v>
      </c>
      <c r="C71" s="4"/>
      <c r="D71" s="4" t="s">
        <v>74</v>
      </c>
      <c r="E71" s="4"/>
      <c r="F71" s="4" t="s">
        <v>75</v>
      </c>
      <c r="G71" s="4"/>
      <c r="H71" s="5">
        <v>5.28</v>
      </c>
    </row>
    <row r="72" spans="1:8">
      <c r="A72" s="4" t="s">
        <v>6</v>
      </c>
      <c r="B72" s="31" t="s">
        <v>21</v>
      </c>
      <c r="C72" s="4"/>
      <c r="D72" s="4" t="s">
        <v>76</v>
      </c>
      <c r="E72" s="4" t="s">
        <v>77</v>
      </c>
      <c r="F72" s="4" t="s">
        <v>78</v>
      </c>
      <c r="G72" s="4"/>
      <c r="H72" s="5">
        <v>0.35</v>
      </c>
    </row>
    <row r="73" spans="1:8">
      <c r="A73" s="4" t="s">
        <v>6</v>
      </c>
      <c r="B73" s="33" t="s">
        <v>22</v>
      </c>
      <c r="C73" s="4"/>
      <c r="D73" s="4" t="s">
        <v>74</v>
      </c>
      <c r="E73" s="4"/>
      <c r="F73" s="4" t="s">
        <v>75</v>
      </c>
      <c r="G73" s="4"/>
      <c r="H73" s="5">
        <v>5.28</v>
      </c>
    </row>
    <row r="74" spans="1:8">
      <c r="A74" s="4" t="s">
        <v>6</v>
      </c>
      <c r="B74" s="31" t="s">
        <v>22</v>
      </c>
      <c r="C74" s="4"/>
      <c r="D74" s="4" t="s">
        <v>76</v>
      </c>
      <c r="E74" s="4" t="s">
        <v>77</v>
      </c>
      <c r="F74" s="4" t="s">
        <v>78</v>
      </c>
      <c r="G74" s="4"/>
      <c r="H74" s="5">
        <v>0.25</v>
      </c>
    </row>
    <row r="75" spans="1:8">
      <c r="A75" s="4" t="s">
        <v>6</v>
      </c>
      <c r="B75" s="33" t="s">
        <v>22</v>
      </c>
      <c r="C75" s="4"/>
      <c r="D75" s="4" t="s">
        <v>79</v>
      </c>
      <c r="E75" s="4" t="s">
        <v>111</v>
      </c>
      <c r="F75" s="4"/>
      <c r="G75" s="4"/>
      <c r="H75" s="5">
        <v>0.1</v>
      </c>
    </row>
    <row r="76" spans="1:8">
      <c r="A76" s="4" t="s">
        <v>6</v>
      </c>
      <c r="B76" s="33" t="s">
        <v>22</v>
      </c>
      <c r="C76" s="4"/>
      <c r="D76" s="4" t="s">
        <v>79</v>
      </c>
      <c r="E76" s="4" t="s">
        <v>112</v>
      </c>
      <c r="F76" s="4"/>
      <c r="G76" s="4"/>
      <c r="H76" s="5">
        <v>0.1</v>
      </c>
    </row>
    <row r="77" spans="1:8">
      <c r="A77" s="4" t="s">
        <v>6</v>
      </c>
      <c r="B77" s="33" t="s">
        <v>22</v>
      </c>
      <c r="C77" s="4"/>
      <c r="D77" s="4" t="s">
        <v>79</v>
      </c>
      <c r="E77" s="4" t="s">
        <v>113</v>
      </c>
      <c r="F77" s="4"/>
      <c r="G77" s="4"/>
      <c r="H77" s="5">
        <v>0.1</v>
      </c>
    </row>
    <row r="78" spans="1:8">
      <c r="A78" s="4" t="s">
        <v>6</v>
      </c>
      <c r="B78" s="33" t="s">
        <v>23</v>
      </c>
      <c r="C78" s="4"/>
      <c r="D78" s="4" t="s">
        <v>74</v>
      </c>
      <c r="E78" s="4"/>
      <c r="F78" s="4" t="s">
        <v>75</v>
      </c>
      <c r="G78" s="4"/>
      <c r="H78" s="5">
        <v>5.28</v>
      </c>
    </row>
    <row r="79" spans="1:8">
      <c r="A79" s="4" t="s">
        <v>6</v>
      </c>
      <c r="B79" s="31" t="s">
        <v>23</v>
      </c>
      <c r="C79" s="4"/>
      <c r="D79" s="4" t="s">
        <v>76</v>
      </c>
      <c r="E79" s="4" t="s">
        <v>77</v>
      </c>
      <c r="F79" s="4" t="s">
        <v>78</v>
      </c>
      <c r="G79" s="4"/>
      <c r="H79" s="5">
        <v>0.25</v>
      </c>
    </row>
    <row r="80" spans="1:8">
      <c r="A80" s="4" t="s">
        <v>6</v>
      </c>
      <c r="B80" s="33" t="s">
        <v>24</v>
      </c>
      <c r="C80" s="4"/>
      <c r="D80" s="4" t="s">
        <v>74</v>
      </c>
      <c r="E80" s="4"/>
      <c r="F80" s="4" t="s">
        <v>75</v>
      </c>
      <c r="G80" s="4"/>
      <c r="H80" s="5">
        <v>5.28</v>
      </c>
    </row>
    <row r="81" spans="1:8">
      <c r="A81" s="4" t="s">
        <v>6</v>
      </c>
      <c r="B81" s="31" t="s">
        <v>24</v>
      </c>
      <c r="C81" s="4"/>
      <c r="D81" s="4" t="s">
        <v>76</v>
      </c>
      <c r="E81" s="4" t="s">
        <v>77</v>
      </c>
      <c r="F81" s="4" t="s">
        <v>78</v>
      </c>
      <c r="G81" s="4"/>
      <c r="H81" s="5">
        <v>0.25</v>
      </c>
    </row>
    <row r="82" spans="1:8">
      <c r="A82" s="4" t="s">
        <v>6</v>
      </c>
      <c r="B82" s="33" t="s">
        <v>25</v>
      </c>
      <c r="C82" s="4"/>
      <c r="D82" s="4" t="s">
        <v>74</v>
      </c>
      <c r="E82" s="4"/>
      <c r="F82" s="4" t="s">
        <v>75</v>
      </c>
      <c r="G82" s="4"/>
      <c r="H82" s="5">
        <v>5.28</v>
      </c>
    </row>
    <row r="83" spans="1:8">
      <c r="A83" s="4" t="s">
        <v>6</v>
      </c>
      <c r="B83" s="31" t="s">
        <v>25</v>
      </c>
      <c r="C83" s="4"/>
      <c r="D83" s="4" t="s">
        <v>76</v>
      </c>
      <c r="E83" s="4" t="s">
        <v>77</v>
      </c>
      <c r="F83" s="4" t="s">
        <v>78</v>
      </c>
      <c r="G83" s="4"/>
      <c r="H83" s="5">
        <v>0.35</v>
      </c>
    </row>
    <row r="84" spans="1:8">
      <c r="A84" s="4" t="s">
        <v>6</v>
      </c>
      <c r="B84" s="33" t="s">
        <v>26</v>
      </c>
      <c r="C84" s="4"/>
      <c r="D84" s="4" t="s">
        <v>74</v>
      </c>
      <c r="E84" s="4"/>
      <c r="F84" s="4" t="s">
        <v>75</v>
      </c>
      <c r="G84" s="4"/>
      <c r="H84" s="5">
        <v>5.28</v>
      </c>
    </row>
    <row r="85" spans="1:8">
      <c r="A85" s="4" t="s">
        <v>6</v>
      </c>
      <c r="B85" s="31" t="s">
        <v>26</v>
      </c>
      <c r="C85" s="4"/>
      <c r="D85" s="4" t="s">
        <v>76</v>
      </c>
      <c r="E85" s="4" t="s">
        <v>77</v>
      </c>
      <c r="F85" s="4" t="s">
        <v>78</v>
      </c>
      <c r="G85" s="4"/>
      <c r="H85" s="5">
        <v>0.25</v>
      </c>
    </row>
    <row r="86" spans="1:8">
      <c r="A86" s="4" t="s">
        <v>6</v>
      </c>
      <c r="B86" s="33" t="s">
        <v>27</v>
      </c>
      <c r="C86" s="4"/>
      <c r="D86" s="4" t="s">
        <v>74</v>
      </c>
      <c r="E86" s="4"/>
      <c r="F86" s="4" t="s">
        <v>75</v>
      </c>
      <c r="G86" s="4"/>
      <c r="H86" s="5">
        <v>5.28</v>
      </c>
    </row>
    <row r="87" spans="1:8">
      <c r="A87" s="4" t="s">
        <v>6</v>
      </c>
      <c r="B87" s="31" t="s">
        <v>27</v>
      </c>
      <c r="C87" s="4"/>
      <c r="D87" s="4" t="s">
        <v>76</v>
      </c>
      <c r="E87" s="4" t="s">
        <v>77</v>
      </c>
      <c r="F87" s="4" t="s">
        <v>78</v>
      </c>
      <c r="G87" s="4"/>
      <c r="H87" s="5">
        <v>0.25</v>
      </c>
    </row>
    <row r="88" spans="1:8">
      <c r="A88" s="4" t="s">
        <v>6</v>
      </c>
      <c r="B88" s="33" t="s">
        <v>28</v>
      </c>
      <c r="C88" s="4"/>
      <c r="D88" s="4" t="s">
        <v>74</v>
      </c>
      <c r="E88" s="4"/>
      <c r="F88" s="4" t="s">
        <v>75</v>
      </c>
      <c r="G88" s="4"/>
      <c r="H88" s="5">
        <v>5.28</v>
      </c>
    </row>
    <row r="89" spans="1:8">
      <c r="A89" s="4" t="s">
        <v>6</v>
      </c>
      <c r="B89" s="31" t="s">
        <v>28</v>
      </c>
      <c r="C89" s="4"/>
      <c r="D89" s="4" t="s">
        <v>76</v>
      </c>
      <c r="E89" s="4" t="s">
        <v>77</v>
      </c>
      <c r="F89" s="4" t="s">
        <v>78</v>
      </c>
      <c r="G89" s="4"/>
      <c r="H89" s="5">
        <v>0.25</v>
      </c>
    </row>
    <row r="90" spans="1:8">
      <c r="A90" s="4" t="s">
        <v>6</v>
      </c>
      <c r="B90" s="4" t="s">
        <v>28</v>
      </c>
      <c r="C90" s="4"/>
      <c r="D90" s="4" t="s">
        <v>61</v>
      </c>
      <c r="E90" s="4" t="s">
        <v>100</v>
      </c>
      <c r="F90" s="4"/>
      <c r="G90" s="4"/>
      <c r="H90" s="5">
        <v>-0.02</v>
      </c>
    </row>
    <row r="91" spans="1:8">
      <c r="A91" s="4" t="s">
        <v>6</v>
      </c>
      <c r="B91" s="33" t="s">
        <v>29</v>
      </c>
      <c r="C91" s="4"/>
      <c r="D91" s="4" t="s">
        <v>74</v>
      </c>
      <c r="E91" s="4"/>
      <c r="F91" s="4" t="s">
        <v>91</v>
      </c>
      <c r="G91" s="4"/>
      <c r="H91" s="5">
        <v>6</v>
      </c>
    </row>
    <row r="92" spans="1:8">
      <c r="A92" s="4" t="s">
        <v>6</v>
      </c>
      <c r="B92" s="31" t="s">
        <v>29</v>
      </c>
      <c r="C92" s="4"/>
      <c r="D92" s="4" t="s">
        <v>76</v>
      </c>
      <c r="E92" s="4" t="s">
        <v>77</v>
      </c>
      <c r="F92" s="4" t="s">
        <v>78</v>
      </c>
      <c r="G92" s="4"/>
      <c r="H92" s="5">
        <v>0.25</v>
      </c>
    </row>
    <row r="93" spans="1:8">
      <c r="A93" s="4" t="s">
        <v>6</v>
      </c>
      <c r="B93" s="33" t="s">
        <v>29</v>
      </c>
      <c r="C93" s="4"/>
      <c r="D93" s="4" t="s">
        <v>62</v>
      </c>
      <c r="E93" s="4" t="s">
        <v>87</v>
      </c>
      <c r="F93" s="4"/>
      <c r="G93" s="4"/>
      <c r="H93" s="5">
        <v>0.25</v>
      </c>
    </row>
    <row r="94" spans="1:8">
      <c r="A94" s="4" t="s">
        <v>6</v>
      </c>
      <c r="B94" s="33" t="s">
        <v>29</v>
      </c>
      <c r="C94" s="4"/>
      <c r="D94" s="4" t="s">
        <v>79</v>
      </c>
      <c r="E94" s="4" t="s">
        <v>114</v>
      </c>
      <c r="F94" s="4"/>
      <c r="G94" s="4"/>
      <c r="H94" s="5">
        <v>0.1</v>
      </c>
    </row>
    <row r="95" spans="1:8">
      <c r="A95" s="4" t="s">
        <v>6</v>
      </c>
      <c r="B95" s="33" t="s">
        <v>29</v>
      </c>
      <c r="C95" s="4"/>
      <c r="D95" s="4" t="s">
        <v>79</v>
      </c>
      <c r="E95" s="4" t="s">
        <v>114</v>
      </c>
      <c r="F95" s="4"/>
      <c r="G95" s="4"/>
      <c r="H95" s="5">
        <v>0.1</v>
      </c>
    </row>
    <row r="96" spans="1:8">
      <c r="A96" s="4" t="s">
        <v>6</v>
      </c>
      <c r="B96" s="33" t="s">
        <v>29</v>
      </c>
      <c r="C96" s="4"/>
      <c r="D96" s="4" t="s">
        <v>79</v>
      </c>
      <c r="E96" s="4" t="s">
        <v>114</v>
      </c>
      <c r="F96" s="4"/>
      <c r="G96" s="4"/>
      <c r="H96" s="5">
        <v>0.1</v>
      </c>
    </row>
    <row r="97" spans="1:8">
      <c r="A97" s="4" t="s">
        <v>6</v>
      </c>
      <c r="B97" s="33" t="s">
        <v>30</v>
      </c>
      <c r="C97" s="4"/>
      <c r="D97" s="4" t="s">
        <v>74</v>
      </c>
      <c r="E97" s="4"/>
      <c r="F97" s="4" t="s">
        <v>75</v>
      </c>
      <c r="G97" s="4"/>
      <c r="H97" s="5">
        <v>5.28</v>
      </c>
    </row>
    <row r="98" spans="1:8">
      <c r="A98" s="4" t="s">
        <v>6</v>
      </c>
      <c r="B98" s="33" t="s">
        <v>30</v>
      </c>
      <c r="C98" s="4"/>
      <c r="D98" s="4" t="s">
        <v>76</v>
      </c>
      <c r="E98" s="4" t="s">
        <v>77</v>
      </c>
      <c r="F98" s="4" t="s">
        <v>78</v>
      </c>
      <c r="G98" s="4"/>
      <c r="H98" s="5">
        <v>0.25</v>
      </c>
    </row>
    <row r="99" spans="1:8">
      <c r="A99" s="4" t="s">
        <v>6</v>
      </c>
      <c r="B99" s="33" t="s">
        <v>30</v>
      </c>
      <c r="C99" s="4"/>
      <c r="D99" s="4" t="s">
        <v>79</v>
      </c>
      <c r="E99" s="4" t="s">
        <v>115</v>
      </c>
      <c r="F99" s="4"/>
      <c r="G99" s="4"/>
      <c r="H99" s="5">
        <v>0.1</v>
      </c>
    </row>
    <row r="100" spans="1:8">
      <c r="A100" s="4" t="s">
        <v>6</v>
      </c>
      <c r="B100" s="33" t="s">
        <v>30</v>
      </c>
      <c r="C100" s="4"/>
      <c r="D100" s="4" t="s">
        <v>79</v>
      </c>
      <c r="E100" s="4" t="s">
        <v>116</v>
      </c>
      <c r="F100" s="4"/>
      <c r="G100" s="4"/>
      <c r="H100" s="5">
        <v>0.1</v>
      </c>
    </row>
    <row r="101" spans="1:8">
      <c r="A101" s="4" t="s">
        <v>6</v>
      </c>
      <c r="B101" s="33" t="s">
        <v>30</v>
      </c>
      <c r="C101" s="4"/>
      <c r="D101" s="4" t="s">
        <v>79</v>
      </c>
      <c r="E101" s="4" t="s">
        <v>117</v>
      </c>
      <c r="F101" s="4"/>
      <c r="G101" s="4"/>
      <c r="H101" s="5">
        <v>0.1</v>
      </c>
    </row>
    <row r="102" spans="1:8">
      <c r="A102" s="4" t="s">
        <v>6</v>
      </c>
      <c r="B102" s="33" t="s">
        <v>30</v>
      </c>
      <c r="C102" s="4"/>
      <c r="D102" s="4" t="s">
        <v>79</v>
      </c>
      <c r="E102" s="4" t="s">
        <v>118</v>
      </c>
      <c r="F102" s="4"/>
      <c r="G102" s="4"/>
      <c r="H102" s="5">
        <v>0.1</v>
      </c>
    </row>
    <row r="103" spans="1:8">
      <c r="A103" s="4" t="s">
        <v>6</v>
      </c>
      <c r="B103" s="4"/>
      <c r="C103" s="4"/>
      <c r="D103" s="4" t="s">
        <v>76</v>
      </c>
      <c r="E103" s="4" t="s">
        <v>119</v>
      </c>
      <c r="F103" s="4" t="s">
        <v>91</v>
      </c>
      <c r="G103" s="4" t="s">
        <v>120</v>
      </c>
      <c r="H103" s="5">
        <v>1</v>
      </c>
    </row>
    <row r="104" spans="1:8">
      <c r="A104" s="4" t="s">
        <v>6</v>
      </c>
      <c r="B104" s="4"/>
      <c r="C104" s="4"/>
      <c r="D104" s="4" t="s">
        <v>76</v>
      </c>
      <c r="E104" s="4" t="s">
        <v>119</v>
      </c>
      <c r="F104" s="4" t="s">
        <v>91</v>
      </c>
      <c r="G104" s="4" t="s">
        <v>121</v>
      </c>
      <c r="H104" s="5">
        <v>1</v>
      </c>
    </row>
  </sheetData>
  <sortState ref="A2:H104">
    <sortCondition ref="B2:B104"/>
    <sortCondition ref="D2:D104"/>
    <sortCondition ref="E2:E104"/>
    <sortCondition ref="G2:G104"/>
  </sortState>
  <dataValidations count="2">
    <dataValidation allowBlank="1" showInputMessage="1" showErrorMessage="1" sqref="D1"/>
    <dataValidation type="list" allowBlank="1" showInputMessage="1" showErrorMessage="1" sqref="D2:D1048576">
      <formula1>"基本评定分,集体评定等级分,社会责任记实分,荣誉称号加分,违纪违规扣分"</formula1>
    </dataValidation>
  </dataValidation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8"/>
  <sheetViews>
    <sheetView tabSelected="1" workbookViewId="0">
      <selection activeCell="D2" sqref="D2:D28"/>
    </sheetView>
  </sheetViews>
  <sheetFormatPr defaultColWidth="9.18269230769231" defaultRowHeight="16.8" outlineLevelCol="3"/>
  <cols>
    <col min="1" max="1" width="42.9038461538462" style="3" customWidth="1"/>
    <col min="2" max="2" width="14.0865384615385" style="3" customWidth="1"/>
    <col min="3" max="3" width="9.45192307692308" style="3" customWidth="1"/>
    <col min="4" max="4" width="15.0865384615385" style="11" customWidth="1"/>
    <col min="5" max="5" width="24.8173076923077" customWidth="1"/>
  </cols>
  <sheetData>
    <row r="1" spans="1:4">
      <c r="A1" s="12" t="s">
        <v>0</v>
      </c>
      <c r="B1" s="12" t="s">
        <v>1</v>
      </c>
      <c r="C1" s="12" t="s">
        <v>2</v>
      </c>
      <c r="D1" s="13" t="s">
        <v>122</v>
      </c>
    </row>
    <row r="2" spans="1:4">
      <c r="A2" s="12" t="s">
        <v>6</v>
      </c>
      <c r="B2" s="12" t="s">
        <v>31</v>
      </c>
      <c r="C2" s="12"/>
      <c r="D2" s="14">
        <v>4.306</v>
      </c>
    </row>
    <row r="3" spans="1:4">
      <c r="A3" s="12" t="s">
        <v>6</v>
      </c>
      <c r="B3" s="12" t="s">
        <v>19</v>
      </c>
      <c r="C3" s="12"/>
      <c r="D3" s="14">
        <v>4.284</v>
      </c>
    </row>
    <row r="4" spans="1:4">
      <c r="A4" s="12" t="s">
        <v>6</v>
      </c>
      <c r="B4" s="12" t="s">
        <v>7</v>
      </c>
      <c r="C4" s="12"/>
      <c r="D4" s="14">
        <v>4.137</v>
      </c>
    </row>
    <row r="5" spans="1:4">
      <c r="A5" s="12" t="s">
        <v>6</v>
      </c>
      <c r="B5" s="12" t="s">
        <v>17</v>
      </c>
      <c r="C5" s="12"/>
      <c r="D5" s="14">
        <v>4.111</v>
      </c>
    </row>
    <row r="6" spans="1:4">
      <c r="A6" s="12" t="s">
        <v>6</v>
      </c>
      <c r="B6" s="12" t="s">
        <v>21</v>
      </c>
      <c r="C6" s="12"/>
      <c r="D6" s="14">
        <v>4.067</v>
      </c>
    </row>
    <row r="7" spans="1:4">
      <c r="A7" s="12" t="s">
        <v>6</v>
      </c>
      <c r="B7" s="12" t="s">
        <v>11</v>
      </c>
      <c r="C7" s="12"/>
      <c r="D7" s="14">
        <v>4.027</v>
      </c>
    </row>
    <row r="8" spans="1:4">
      <c r="A8" s="12" t="s">
        <v>6</v>
      </c>
      <c r="B8" s="12" t="s">
        <v>15</v>
      </c>
      <c r="C8" s="12"/>
      <c r="D8" s="14">
        <v>4.01</v>
      </c>
    </row>
    <row r="9" spans="1:4">
      <c r="A9" s="12" t="s">
        <v>6</v>
      </c>
      <c r="B9" s="12" t="s">
        <v>13</v>
      </c>
      <c r="C9" s="12"/>
      <c r="D9" s="14">
        <v>3.979</v>
      </c>
    </row>
    <row r="10" spans="1:4">
      <c r="A10" s="12" t="s">
        <v>6</v>
      </c>
      <c r="B10" s="12" t="s">
        <v>25</v>
      </c>
      <c r="C10" s="12"/>
      <c r="D10" s="14">
        <v>3.973</v>
      </c>
    </row>
    <row r="11" spans="1:4">
      <c r="A11" s="12" t="s">
        <v>6</v>
      </c>
      <c r="B11" s="12" t="s">
        <v>32</v>
      </c>
      <c r="C11" s="12"/>
      <c r="D11" s="14">
        <v>3.877</v>
      </c>
    </row>
    <row r="12" spans="1:4">
      <c r="A12" s="12" t="s">
        <v>6</v>
      </c>
      <c r="B12" s="12" t="s">
        <v>30</v>
      </c>
      <c r="C12" s="12"/>
      <c r="D12" s="14">
        <v>3.834</v>
      </c>
    </row>
    <row r="13" spans="1:4">
      <c r="A13" s="12" t="s">
        <v>6</v>
      </c>
      <c r="B13" s="12" t="s">
        <v>23</v>
      </c>
      <c r="C13" s="12"/>
      <c r="D13" s="14">
        <v>3.771</v>
      </c>
    </row>
    <row r="14" spans="1:4">
      <c r="A14" s="12" t="s">
        <v>6</v>
      </c>
      <c r="B14" s="12" t="s">
        <v>20</v>
      </c>
      <c r="C14" s="12"/>
      <c r="D14" s="14">
        <v>3.764</v>
      </c>
    </row>
    <row r="15" spans="1:4">
      <c r="A15" s="12" t="s">
        <v>6</v>
      </c>
      <c r="B15" s="12" t="s">
        <v>12</v>
      </c>
      <c r="C15" s="12"/>
      <c r="D15" s="14">
        <v>3.71</v>
      </c>
    </row>
    <row r="16" spans="1:4">
      <c r="A16" s="12" t="s">
        <v>6</v>
      </c>
      <c r="B16" s="12" t="s">
        <v>33</v>
      </c>
      <c r="C16" s="12"/>
      <c r="D16" s="14">
        <v>3.7</v>
      </c>
    </row>
    <row r="17" spans="1:4">
      <c r="A17" s="12" t="s">
        <v>6</v>
      </c>
      <c r="B17" s="12" t="s">
        <v>14</v>
      </c>
      <c r="C17" s="12"/>
      <c r="D17" s="14">
        <v>3.612</v>
      </c>
    </row>
    <row r="18" spans="1:4">
      <c r="A18" s="12" t="s">
        <v>6</v>
      </c>
      <c r="B18" s="12" t="s">
        <v>29</v>
      </c>
      <c r="C18" s="12"/>
      <c r="D18" s="14">
        <v>3.551</v>
      </c>
    </row>
    <row r="19" spans="1:4">
      <c r="A19" s="12" t="s">
        <v>6</v>
      </c>
      <c r="B19" s="12" t="s">
        <v>22</v>
      </c>
      <c r="C19" s="12"/>
      <c r="D19" s="14">
        <v>3.455</v>
      </c>
    </row>
    <row r="20" spans="1:4">
      <c r="A20" s="12" t="s">
        <v>6</v>
      </c>
      <c r="B20" s="12" t="s">
        <v>27</v>
      </c>
      <c r="C20" s="12"/>
      <c r="D20" s="14">
        <v>3.445</v>
      </c>
    </row>
    <row r="21" spans="1:4">
      <c r="A21" s="12" t="s">
        <v>6</v>
      </c>
      <c r="B21" s="12" t="s">
        <v>18</v>
      </c>
      <c r="C21" s="12"/>
      <c r="D21" s="14">
        <v>3.295</v>
      </c>
    </row>
    <row r="22" spans="1:4">
      <c r="A22" s="12" t="s">
        <v>6</v>
      </c>
      <c r="B22" s="12" t="s">
        <v>28</v>
      </c>
      <c r="C22" s="12"/>
      <c r="D22" s="14">
        <v>3.282</v>
      </c>
    </row>
    <row r="23" spans="1:4">
      <c r="A23" s="12" t="s">
        <v>6</v>
      </c>
      <c r="B23" s="12" t="s">
        <v>10</v>
      </c>
      <c r="C23" s="12"/>
      <c r="D23" s="14">
        <v>3.273</v>
      </c>
    </row>
    <row r="24" spans="1:4">
      <c r="A24" s="12" t="s">
        <v>6</v>
      </c>
      <c r="B24" s="12" t="s">
        <v>26</v>
      </c>
      <c r="C24" s="12"/>
      <c r="D24" s="14">
        <v>3.058</v>
      </c>
    </row>
    <row r="25" spans="1:4">
      <c r="A25" s="12" t="s">
        <v>6</v>
      </c>
      <c r="B25" s="12" t="s">
        <v>8</v>
      </c>
      <c r="C25" s="12"/>
      <c r="D25" s="14">
        <v>2.946</v>
      </c>
    </row>
    <row r="26" spans="1:4">
      <c r="A26" s="12" t="s">
        <v>6</v>
      </c>
      <c r="B26" s="12" t="s">
        <v>24</v>
      </c>
      <c r="C26" s="12"/>
      <c r="D26" s="14">
        <v>2.421</v>
      </c>
    </row>
    <row r="27" spans="1:4">
      <c r="A27" s="12" t="s">
        <v>6</v>
      </c>
      <c r="B27" s="12" t="s">
        <v>9</v>
      </c>
      <c r="C27" s="12"/>
      <c r="D27" s="14">
        <v>2.257</v>
      </c>
    </row>
    <row r="28" spans="1:4">
      <c r="A28" s="12" t="s">
        <v>6</v>
      </c>
      <c r="B28" s="12" t="s">
        <v>16</v>
      </c>
      <c r="C28" s="12"/>
      <c r="D28" s="14">
        <v>1.451</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39"/>
  <sheetViews>
    <sheetView workbookViewId="0">
      <selection activeCell="K1" sqref="K1"/>
    </sheetView>
  </sheetViews>
  <sheetFormatPr defaultColWidth="9.18269230769231" defaultRowHeight="16.8"/>
  <cols>
    <col min="1" max="1" width="43.2692307692308" style="1" customWidth="1"/>
    <col min="2" max="2" width="14.0865384615385" style="1" customWidth="1"/>
    <col min="3" max="3" width="11.5384615384615" style="1" customWidth="1"/>
    <col min="4" max="4" width="17.6346153846154" style="1" customWidth="1"/>
    <col min="5" max="5" width="44.5384615384615" style="1" customWidth="1"/>
    <col min="6" max="6" width="9.18269230769231" style="1" customWidth="1"/>
    <col min="7" max="8" width="8.08653846153846" style="1" customWidth="1"/>
    <col min="9" max="9" width="6" style="1" customWidth="1"/>
    <col min="10" max="10" width="8" style="2" customWidth="1"/>
    <col min="11" max="11" width="15.0865384615385" style="2" customWidth="1"/>
    <col min="12" max="12" width="8.63461538461539" style="2" customWidth="1"/>
  </cols>
  <sheetData>
    <row r="1" spans="1:12">
      <c r="A1" s="4" t="s">
        <v>0</v>
      </c>
      <c r="B1" s="4" t="s">
        <v>1</v>
      </c>
      <c r="C1" s="4" t="s">
        <v>2</v>
      </c>
      <c r="D1" s="4" t="s">
        <v>69</v>
      </c>
      <c r="E1" s="4" t="s">
        <v>70</v>
      </c>
      <c r="F1" s="4" t="s">
        <v>71</v>
      </c>
      <c r="G1" s="4" t="s">
        <v>72</v>
      </c>
      <c r="H1" s="4" t="s">
        <v>123</v>
      </c>
      <c r="I1" s="4" t="s">
        <v>124</v>
      </c>
      <c r="J1" s="5" t="s">
        <v>73</v>
      </c>
      <c r="K1" s="5" t="s">
        <v>125</v>
      </c>
      <c r="L1" s="5" t="s">
        <v>68</v>
      </c>
    </row>
    <row r="2" spans="1:12">
      <c r="A2" s="4" t="s">
        <v>6</v>
      </c>
      <c r="B2" s="33" t="s">
        <v>31</v>
      </c>
      <c r="C2" s="4"/>
      <c r="D2" s="4" t="s">
        <v>126</v>
      </c>
      <c r="E2" s="9" t="s">
        <v>127</v>
      </c>
      <c r="F2" s="8"/>
      <c r="G2" s="8" t="s">
        <v>120</v>
      </c>
      <c r="H2" s="4"/>
      <c r="I2" s="4"/>
      <c r="J2" s="10">
        <v>88</v>
      </c>
      <c r="K2" s="5"/>
      <c r="L2" s="9"/>
    </row>
    <row r="3" spans="1:12">
      <c r="A3" s="4" t="s">
        <v>6</v>
      </c>
      <c r="B3" s="33" t="s">
        <v>31</v>
      </c>
      <c r="C3" s="4"/>
      <c r="D3" s="4" t="s">
        <v>126</v>
      </c>
      <c r="E3" s="9" t="s">
        <v>127</v>
      </c>
      <c r="F3" s="8"/>
      <c r="G3" s="8" t="s">
        <v>121</v>
      </c>
      <c r="H3" s="4"/>
      <c r="I3" s="4"/>
      <c r="J3" s="10">
        <v>88</v>
      </c>
      <c r="K3" s="5"/>
      <c r="L3" s="9"/>
    </row>
    <row r="4" spans="1:12">
      <c r="A4" s="4" t="s">
        <v>6</v>
      </c>
      <c r="B4" s="7" t="s">
        <v>31</v>
      </c>
      <c r="C4" s="4"/>
      <c r="D4" s="4" t="s">
        <v>128</v>
      </c>
      <c r="E4" s="4" t="s">
        <v>129</v>
      </c>
      <c r="F4" s="4"/>
      <c r="G4" s="4" t="s">
        <v>120</v>
      </c>
      <c r="H4" s="4"/>
      <c r="I4" s="4"/>
      <c r="J4" s="9">
        <v>100</v>
      </c>
      <c r="K4" s="5"/>
      <c r="L4" s="9">
        <f>IF(J4=100,0.3,IF(J4&lt;60,0,(J4*0.04-2)/8))</f>
        <v>0.3</v>
      </c>
    </row>
    <row r="5" spans="1:12">
      <c r="A5" s="4" t="s">
        <v>6</v>
      </c>
      <c r="B5" s="7" t="s">
        <v>31</v>
      </c>
      <c r="C5" s="4"/>
      <c r="D5" s="4" t="s">
        <v>128</v>
      </c>
      <c r="E5" s="4" t="s">
        <v>129</v>
      </c>
      <c r="F5" s="4"/>
      <c r="G5" s="4" t="s">
        <v>121</v>
      </c>
      <c r="H5" s="4"/>
      <c r="I5" s="4"/>
      <c r="J5" s="9">
        <v>100</v>
      </c>
      <c r="K5" s="5"/>
      <c r="L5" s="9">
        <f>IF(J5=100,0.3,IF(J5&lt;60,0,(J5*0.04-2)/8))</f>
        <v>0.3</v>
      </c>
    </row>
    <row r="6" spans="1:12">
      <c r="A6" s="4" t="s">
        <v>6</v>
      </c>
      <c r="B6" s="4" t="s">
        <v>31</v>
      </c>
      <c r="C6" s="4"/>
      <c r="D6" s="4" t="s">
        <v>128</v>
      </c>
      <c r="E6" s="4" t="s">
        <v>130</v>
      </c>
      <c r="F6" s="4"/>
      <c r="G6" s="4" t="s">
        <v>121</v>
      </c>
      <c r="H6" s="4"/>
      <c r="I6" s="4"/>
      <c r="J6" s="5">
        <v>20</v>
      </c>
      <c r="K6" s="5"/>
      <c r="L6" s="9">
        <f>IF(J6&gt;=20,0.2,IF(J6&lt;10,0,((J6-10)*0.1+2.5)/20))</f>
        <v>0.2</v>
      </c>
    </row>
    <row r="7" spans="1:12">
      <c r="A7" s="4" t="s">
        <v>6</v>
      </c>
      <c r="B7" s="33" t="s">
        <v>33</v>
      </c>
      <c r="C7" s="4"/>
      <c r="D7" s="4" t="s">
        <v>126</v>
      </c>
      <c r="E7" s="9" t="s">
        <v>127</v>
      </c>
      <c r="F7" s="8"/>
      <c r="G7" s="8" t="s">
        <v>120</v>
      </c>
      <c r="H7" s="4"/>
      <c r="I7" s="4"/>
      <c r="J7" s="10">
        <v>70</v>
      </c>
      <c r="K7" s="5"/>
      <c r="L7" s="9"/>
    </row>
    <row r="8" spans="1:12">
      <c r="A8" s="4" t="s">
        <v>6</v>
      </c>
      <c r="B8" s="33" t="s">
        <v>33</v>
      </c>
      <c r="C8" s="4"/>
      <c r="D8" s="4" t="s">
        <v>126</v>
      </c>
      <c r="E8" s="9" t="s">
        <v>127</v>
      </c>
      <c r="F8" s="8"/>
      <c r="G8" s="8" t="s">
        <v>121</v>
      </c>
      <c r="H8" s="4"/>
      <c r="I8" s="4"/>
      <c r="J8" s="10">
        <v>84</v>
      </c>
      <c r="K8" s="5"/>
      <c r="L8" s="9"/>
    </row>
    <row r="9" spans="1:12">
      <c r="A9" s="4" t="s">
        <v>6</v>
      </c>
      <c r="B9" s="7" t="s">
        <v>33</v>
      </c>
      <c r="C9" s="4"/>
      <c r="D9" s="4" t="s">
        <v>128</v>
      </c>
      <c r="E9" s="4" t="s">
        <v>129</v>
      </c>
      <c r="F9" s="4"/>
      <c r="G9" s="4" t="s">
        <v>120</v>
      </c>
      <c r="H9" s="4"/>
      <c r="I9" s="4"/>
      <c r="J9" s="9">
        <v>100</v>
      </c>
      <c r="K9" s="5"/>
      <c r="L9" s="9">
        <f>IF(J9=100,0.3,IF(J9&lt;60,0,(J9*0.04-2)/8))</f>
        <v>0.3</v>
      </c>
    </row>
    <row r="10" spans="1:12">
      <c r="A10" s="4" t="s">
        <v>6</v>
      </c>
      <c r="B10" s="7" t="s">
        <v>33</v>
      </c>
      <c r="C10" s="4"/>
      <c r="D10" s="4" t="s">
        <v>128</v>
      </c>
      <c r="E10" s="4" t="s">
        <v>129</v>
      </c>
      <c r="F10" s="4"/>
      <c r="G10" s="4" t="s">
        <v>121</v>
      </c>
      <c r="H10" s="4"/>
      <c r="I10" s="4"/>
      <c r="J10" s="9">
        <v>99.9583333333333</v>
      </c>
      <c r="K10" s="5"/>
      <c r="L10" s="9">
        <f>IF(J10=100,0.3,IF(J10&lt;60,0,(J10*0.04-2)/8))</f>
        <v>0.249791666666667</v>
      </c>
    </row>
    <row r="11" spans="1:12">
      <c r="A11" s="4" t="s">
        <v>6</v>
      </c>
      <c r="B11" s="4" t="s">
        <v>33</v>
      </c>
      <c r="C11" s="4"/>
      <c r="D11" s="4" t="s">
        <v>128</v>
      </c>
      <c r="E11" s="4" t="s">
        <v>130</v>
      </c>
      <c r="F11" s="4"/>
      <c r="G11" s="4" t="s">
        <v>121</v>
      </c>
      <c r="H11" s="4"/>
      <c r="I11" s="4"/>
      <c r="J11" s="5">
        <v>19</v>
      </c>
      <c r="K11" s="5"/>
      <c r="L11" s="9">
        <f>IF(J11&gt;=20,0.2,IF(J11&lt;10,0,((J11-10)*0.1+2.5)/20))</f>
        <v>0.17</v>
      </c>
    </row>
    <row r="12" spans="1:12">
      <c r="A12" s="4" t="s">
        <v>6</v>
      </c>
      <c r="B12" s="33" t="s">
        <v>32</v>
      </c>
      <c r="C12" s="4"/>
      <c r="D12" s="4" t="s">
        <v>126</v>
      </c>
      <c r="E12" s="9" t="s">
        <v>127</v>
      </c>
      <c r="F12" s="8"/>
      <c r="G12" s="8" t="s">
        <v>120</v>
      </c>
      <c r="H12" s="4"/>
      <c r="I12" s="4"/>
      <c r="J12" s="10">
        <v>83</v>
      </c>
      <c r="K12" s="5"/>
      <c r="L12" s="9"/>
    </row>
    <row r="13" spans="1:12">
      <c r="A13" s="4" t="s">
        <v>6</v>
      </c>
      <c r="B13" s="33" t="s">
        <v>32</v>
      </c>
      <c r="C13" s="4"/>
      <c r="D13" s="4" t="s">
        <v>126</v>
      </c>
      <c r="E13" s="9" t="s">
        <v>127</v>
      </c>
      <c r="F13" s="8"/>
      <c r="G13" s="8" t="s">
        <v>121</v>
      </c>
      <c r="H13" s="4"/>
      <c r="I13" s="4"/>
      <c r="J13" s="10">
        <v>78</v>
      </c>
      <c r="K13" s="5"/>
      <c r="L13" s="9"/>
    </row>
    <row r="14" spans="1:12">
      <c r="A14" s="4" t="s">
        <v>6</v>
      </c>
      <c r="B14" s="7" t="s">
        <v>32</v>
      </c>
      <c r="C14" s="4"/>
      <c r="D14" s="4" t="s">
        <v>128</v>
      </c>
      <c r="E14" s="4" t="s">
        <v>129</v>
      </c>
      <c r="F14" s="4"/>
      <c r="G14" s="4" t="s">
        <v>120</v>
      </c>
      <c r="H14" s="4"/>
      <c r="I14" s="4"/>
      <c r="J14" s="9">
        <v>100</v>
      </c>
      <c r="K14" s="5"/>
      <c r="L14" s="9">
        <f>IF(J14=100,0.3,IF(J14&lt;60,0,(J14*0.04-2)/8))</f>
        <v>0.3</v>
      </c>
    </row>
    <row r="15" spans="1:12">
      <c r="A15" s="4" t="s">
        <v>6</v>
      </c>
      <c r="B15" s="7" t="s">
        <v>32</v>
      </c>
      <c r="C15" s="4"/>
      <c r="D15" s="4" t="s">
        <v>128</v>
      </c>
      <c r="E15" s="4" t="s">
        <v>129</v>
      </c>
      <c r="F15" s="4"/>
      <c r="G15" s="4" t="s">
        <v>121</v>
      </c>
      <c r="H15" s="4"/>
      <c r="I15" s="4"/>
      <c r="J15" s="9">
        <v>100</v>
      </c>
      <c r="K15" s="5"/>
      <c r="L15" s="9">
        <f>IF(J15=100,0.3,IF(J15&lt;60,0,(J15*0.04-2)/8))</f>
        <v>0.3</v>
      </c>
    </row>
    <row r="16" spans="1:12">
      <c r="A16" s="4" t="s">
        <v>6</v>
      </c>
      <c r="B16" s="4" t="s">
        <v>32</v>
      </c>
      <c r="C16" s="4"/>
      <c r="D16" s="4" t="s">
        <v>128</v>
      </c>
      <c r="E16" s="4" t="s">
        <v>130</v>
      </c>
      <c r="F16" s="4"/>
      <c r="G16" s="4" t="s">
        <v>121</v>
      </c>
      <c r="H16" s="4"/>
      <c r="I16" s="4"/>
      <c r="J16" s="5">
        <v>20</v>
      </c>
      <c r="K16" s="5"/>
      <c r="L16" s="9">
        <f>IF(J16&gt;=20,0.2,IF(J16&lt;10,0,((J16-10)*0.1+2.5)/20))</f>
        <v>0.2</v>
      </c>
    </row>
    <row r="17" spans="1:12">
      <c r="A17" s="4" t="s">
        <v>6</v>
      </c>
      <c r="B17" s="33" t="s">
        <v>7</v>
      </c>
      <c r="C17" s="4"/>
      <c r="D17" s="4" t="s">
        <v>126</v>
      </c>
      <c r="E17" s="9" t="s">
        <v>127</v>
      </c>
      <c r="F17" s="8"/>
      <c r="G17" s="8" t="s">
        <v>120</v>
      </c>
      <c r="H17" s="4"/>
      <c r="I17" s="4"/>
      <c r="J17" s="10">
        <v>89</v>
      </c>
      <c r="K17" s="5"/>
      <c r="L17" s="9"/>
    </row>
    <row r="18" spans="1:12">
      <c r="A18" s="4" t="s">
        <v>6</v>
      </c>
      <c r="B18" s="33" t="s">
        <v>7</v>
      </c>
      <c r="C18" s="4"/>
      <c r="D18" s="4" t="s">
        <v>126</v>
      </c>
      <c r="E18" s="9" t="s">
        <v>127</v>
      </c>
      <c r="F18" s="8"/>
      <c r="G18" s="8" t="s">
        <v>121</v>
      </c>
      <c r="H18" s="4"/>
      <c r="I18" s="4"/>
      <c r="J18" s="10">
        <v>90</v>
      </c>
      <c r="K18" s="5"/>
      <c r="L18" s="9"/>
    </row>
    <row r="19" spans="1:12">
      <c r="A19" s="4" t="s">
        <v>6</v>
      </c>
      <c r="B19" s="7" t="s">
        <v>7</v>
      </c>
      <c r="C19" s="4"/>
      <c r="D19" s="4" t="s">
        <v>128</v>
      </c>
      <c r="E19" s="4" t="s">
        <v>129</v>
      </c>
      <c r="F19" s="4"/>
      <c r="G19" s="4" t="s">
        <v>120</v>
      </c>
      <c r="H19" s="4"/>
      <c r="I19" s="4"/>
      <c r="J19" s="9">
        <v>100</v>
      </c>
      <c r="K19" s="5"/>
      <c r="L19" s="9">
        <f>IF(J19=100,0.3,IF(J19&lt;60,0,(J19*0.04-2)/8))</f>
        <v>0.3</v>
      </c>
    </row>
    <row r="20" spans="1:12">
      <c r="A20" s="4" t="s">
        <v>6</v>
      </c>
      <c r="B20" s="7" t="s">
        <v>7</v>
      </c>
      <c r="C20" s="4"/>
      <c r="D20" s="4" t="s">
        <v>128</v>
      </c>
      <c r="E20" s="4" t="s">
        <v>129</v>
      </c>
      <c r="F20" s="4"/>
      <c r="G20" s="4" t="s">
        <v>121</v>
      </c>
      <c r="H20" s="4"/>
      <c r="I20" s="4"/>
      <c r="J20" s="9">
        <v>100</v>
      </c>
      <c r="K20" s="5"/>
      <c r="L20" s="9">
        <f>IF(J20=100,0.3,IF(J20&lt;60,0,(J20*0.04-2)/8))</f>
        <v>0.3</v>
      </c>
    </row>
    <row r="21" spans="1:12">
      <c r="A21" s="4" t="s">
        <v>6</v>
      </c>
      <c r="B21" s="4" t="s">
        <v>7</v>
      </c>
      <c r="C21" s="4"/>
      <c r="D21" s="4" t="s">
        <v>128</v>
      </c>
      <c r="E21" s="4" t="s">
        <v>130</v>
      </c>
      <c r="F21" s="4"/>
      <c r="G21" s="4" t="s">
        <v>121</v>
      </c>
      <c r="H21" s="4"/>
      <c r="I21" s="4"/>
      <c r="J21" s="5">
        <v>24</v>
      </c>
      <c r="K21" s="5"/>
      <c r="L21" s="9">
        <f>IF(J21&gt;=20,0.2,IF(J21&lt;10,0,((J21-10)*0.1+2.5)/20))</f>
        <v>0.2</v>
      </c>
    </row>
    <row r="22" spans="1:12">
      <c r="A22" s="4" t="s">
        <v>6</v>
      </c>
      <c r="B22" s="33" t="s">
        <v>8</v>
      </c>
      <c r="C22" s="4"/>
      <c r="D22" s="4" t="s">
        <v>126</v>
      </c>
      <c r="E22" s="9" t="s">
        <v>127</v>
      </c>
      <c r="F22" s="8"/>
      <c r="G22" s="8" t="s">
        <v>120</v>
      </c>
      <c r="H22" s="4"/>
      <c r="I22" s="4"/>
      <c r="J22" s="10">
        <v>65</v>
      </c>
      <c r="K22" s="5"/>
      <c r="L22" s="9"/>
    </row>
    <row r="23" spans="1:12">
      <c r="A23" s="4" t="s">
        <v>6</v>
      </c>
      <c r="B23" s="33" t="s">
        <v>8</v>
      </c>
      <c r="C23" s="4"/>
      <c r="D23" s="4" t="s">
        <v>126</v>
      </c>
      <c r="E23" s="9" t="s">
        <v>127</v>
      </c>
      <c r="F23" s="8"/>
      <c r="G23" s="8" t="s">
        <v>121</v>
      </c>
      <c r="H23" s="4"/>
      <c r="I23" s="4"/>
      <c r="J23" s="10">
        <v>55</v>
      </c>
      <c r="K23" s="5"/>
      <c r="L23" s="9"/>
    </row>
    <row r="24" spans="1:12">
      <c r="A24" s="4" t="s">
        <v>6</v>
      </c>
      <c r="B24" s="7" t="s">
        <v>8</v>
      </c>
      <c r="C24" s="4"/>
      <c r="D24" s="4" t="s">
        <v>128</v>
      </c>
      <c r="E24" s="4" t="s">
        <v>129</v>
      </c>
      <c r="F24" s="4"/>
      <c r="G24" s="4" t="s">
        <v>120</v>
      </c>
      <c r="H24" s="4"/>
      <c r="I24" s="4"/>
      <c r="J24" s="9">
        <v>45</v>
      </c>
      <c r="K24" s="5"/>
      <c r="L24" s="9">
        <f>IF(J24=100,0.3,IF(J24&lt;60,0,(J24*0.04-2)/8))</f>
        <v>0</v>
      </c>
    </row>
    <row r="25" spans="1:12">
      <c r="A25" s="4" t="s">
        <v>6</v>
      </c>
      <c r="B25" s="7" t="s">
        <v>8</v>
      </c>
      <c r="C25" s="4"/>
      <c r="D25" s="4" t="s">
        <v>128</v>
      </c>
      <c r="E25" s="4" t="s">
        <v>129</v>
      </c>
      <c r="F25" s="4"/>
      <c r="G25" s="4" t="s">
        <v>121</v>
      </c>
      <c r="H25" s="4"/>
      <c r="I25" s="4"/>
      <c r="J25" s="9">
        <v>100</v>
      </c>
      <c r="K25" s="5"/>
      <c r="L25" s="9">
        <f>IF(J25=100,0.3,IF(J25&lt;60,0,(J25*0.04-2)/8))</f>
        <v>0.3</v>
      </c>
    </row>
    <row r="26" spans="1:12">
      <c r="A26" s="4" t="s">
        <v>6</v>
      </c>
      <c r="B26" s="4" t="s">
        <v>8</v>
      </c>
      <c r="C26" s="4"/>
      <c r="D26" s="4" t="s">
        <v>128</v>
      </c>
      <c r="E26" s="4" t="s">
        <v>130</v>
      </c>
      <c r="F26" s="4"/>
      <c r="G26" s="4" t="s">
        <v>121</v>
      </c>
      <c r="H26" s="4"/>
      <c r="I26" s="4"/>
      <c r="J26" s="5">
        <v>20</v>
      </c>
      <c r="K26" s="5"/>
      <c r="L26" s="9">
        <f>IF(J26&gt;=20,0.2,IF(J26&lt;10,0,((J26-10)*0.1+2.5)/20))</f>
        <v>0.2</v>
      </c>
    </row>
    <row r="27" spans="1:12">
      <c r="A27" s="4" t="s">
        <v>6</v>
      </c>
      <c r="B27" s="33" t="s">
        <v>9</v>
      </c>
      <c r="C27" s="4"/>
      <c r="D27" s="4" t="s">
        <v>126</v>
      </c>
      <c r="E27" s="9" t="s">
        <v>127</v>
      </c>
      <c r="F27" s="8"/>
      <c r="G27" s="8" t="s">
        <v>120</v>
      </c>
      <c r="H27" s="4"/>
      <c r="I27" s="4"/>
      <c r="J27" s="10">
        <v>78</v>
      </c>
      <c r="K27" s="5"/>
      <c r="L27" s="9"/>
    </row>
    <row r="28" spans="1:12">
      <c r="A28" s="4" t="s">
        <v>6</v>
      </c>
      <c r="B28" s="33" t="s">
        <v>9</v>
      </c>
      <c r="C28" s="4"/>
      <c r="D28" s="4" t="s">
        <v>126</v>
      </c>
      <c r="E28" s="9" t="s">
        <v>127</v>
      </c>
      <c r="F28" s="8"/>
      <c r="G28" s="8" t="s">
        <v>121</v>
      </c>
      <c r="H28" s="4"/>
      <c r="I28" s="4"/>
      <c r="J28" s="10">
        <v>76</v>
      </c>
      <c r="K28" s="5"/>
      <c r="L28" s="9"/>
    </row>
    <row r="29" spans="1:12">
      <c r="A29" s="4" t="s">
        <v>6</v>
      </c>
      <c r="B29" s="7" t="s">
        <v>9</v>
      </c>
      <c r="C29" s="4"/>
      <c r="D29" s="4" t="s">
        <v>128</v>
      </c>
      <c r="E29" s="4" t="s">
        <v>129</v>
      </c>
      <c r="F29" s="4"/>
      <c r="G29" s="4" t="s">
        <v>120</v>
      </c>
      <c r="H29" s="4"/>
      <c r="I29" s="4"/>
      <c r="J29" s="9">
        <v>100</v>
      </c>
      <c r="K29" s="5"/>
      <c r="L29" s="9">
        <f>IF(J29=100,0.3,IF(J29&lt;60,0,(J29*0.04-2)/8))</f>
        <v>0.3</v>
      </c>
    </row>
    <row r="30" spans="1:12">
      <c r="A30" s="4" t="s">
        <v>6</v>
      </c>
      <c r="B30" s="7" t="s">
        <v>9</v>
      </c>
      <c r="C30" s="4"/>
      <c r="D30" s="4" t="s">
        <v>128</v>
      </c>
      <c r="E30" s="4" t="s">
        <v>129</v>
      </c>
      <c r="F30" s="4"/>
      <c r="G30" s="4" t="s">
        <v>121</v>
      </c>
      <c r="H30" s="4"/>
      <c r="I30" s="4"/>
      <c r="J30" s="9">
        <v>100</v>
      </c>
      <c r="K30" s="5"/>
      <c r="L30" s="9">
        <f>IF(J30=100,0.3,IF(J30&lt;60,0,(J30*0.04-2)/8))</f>
        <v>0.3</v>
      </c>
    </row>
    <row r="31" spans="1:12">
      <c r="A31" s="4" t="s">
        <v>6</v>
      </c>
      <c r="B31" s="4" t="s">
        <v>9</v>
      </c>
      <c r="C31" s="4"/>
      <c r="D31" s="4" t="s">
        <v>128</v>
      </c>
      <c r="E31" s="4" t="s">
        <v>130</v>
      </c>
      <c r="F31" s="4"/>
      <c r="G31" s="4" t="s">
        <v>121</v>
      </c>
      <c r="H31" s="4"/>
      <c r="I31" s="4"/>
      <c r="J31" s="5">
        <v>19</v>
      </c>
      <c r="K31" s="5"/>
      <c r="L31" s="9">
        <f>IF(J31&gt;=20,0.2,IF(J31&lt;10,0,((J31-10)*0.1+2.5)/20))</f>
        <v>0.17</v>
      </c>
    </row>
    <row r="32" spans="1:12">
      <c r="A32" s="4" t="s">
        <v>6</v>
      </c>
      <c r="B32" s="33" t="s">
        <v>10</v>
      </c>
      <c r="C32" s="4"/>
      <c r="D32" s="4" t="s">
        <v>126</v>
      </c>
      <c r="E32" s="9" t="s">
        <v>127</v>
      </c>
      <c r="F32" s="8"/>
      <c r="G32" s="8" t="s">
        <v>120</v>
      </c>
      <c r="H32" s="4"/>
      <c r="I32" s="4"/>
      <c r="J32" s="10">
        <v>86</v>
      </c>
      <c r="K32" s="5"/>
      <c r="L32" s="9"/>
    </row>
    <row r="33" spans="1:12">
      <c r="A33" s="4" t="s">
        <v>6</v>
      </c>
      <c r="B33" s="33" t="s">
        <v>10</v>
      </c>
      <c r="C33" s="4"/>
      <c r="D33" s="4" t="s">
        <v>126</v>
      </c>
      <c r="E33" s="9" t="s">
        <v>127</v>
      </c>
      <c r="F33" s="8"/>
      <c r="G33" s="8" t="s">
        <v>121</v>
      </c>
      <c r="H33" s="4"/>
      <c r="I33" s="4"/>
      <c r="J33" s="10">
        <v>86</v>
      </c>
      <c r="K33" s="5"/>
      <c r="L33" s="9"/>
    </row>
    <row r="34" spans="1:12">
      <c r="A34" s="4" t="s">
        <v>6</v>
      </c>
      <c r="B34" s="7" t="s">
        <v>10</v>
      </c>
      <c r="C34" s="4"/>
      <c r="D34" s="4" t="s">
        <v>128</v>
      </c>
      <c r="E34" s="4" t="s">
        <v>129</v>
      </c>
      <c r="F34" s="4"/>
      <c r="G34" s="4" t="s">
        <v>120</v>
      </c>
      <c r="H34" s="4"/>
      <c r="I34" s="4"/>
      <c r="J34" s="9">
        <v>100</v>
      </c>
      <c r="K34" s="5"/>
      <c r="L34" s="9">
        <f>IF(J34=100,0.3,IF(J34&lt;60,0,(J34*0.04-2)/8))</f>
        <v>0.3</v>
      </c>
    </row>
    <row r="35" spans="1:12">
      <c r="A35" s="4" t="s">
        <v>6</v>
      </c>
      <c r="B35" s="7" t="s">
        <v>10</v>
      </c>
      <c r="C35" s="4"/>
      <c r="D35" s="4" t="s">
        <v>128</v>
      </c>
      <c r="E35" s="4" t="s">
        <v>129</v>
      </c>
      <c r="F35" s="4"/>
      <c r="G35" s="4" t="s">
        <v>121</v>
      </c>
      <c r="H35" s="4"/>
      <c r="I35" s="4"/>
      <c r="J35" s="9">
        <v>100</v>
      </c>
      <c r="K35" s="5"/>
      <c r="L35" s="9">
        <f>IF(J35=100,0.3,IF(J35&lt;60,0,(J35*0.04-2)/8))</f>
        <v>0.3</v>
      </c>
    </row>
    <row r="36" spans="1:12">
      <c r="A36" s="4" t="s">
        <v>6</v>
      </c>
      <c r="B36" s="4" t="s">
        <v>10</v>
      </c>
      <c r="C36" s="4"/>
      <c r="D36" s="4" t="s">
        <v>128</v>
      </c>
      <c r="E36" s="4" t="s">
        <v>130</v>
      </c>
      <c r="F36" s="4"/>
      <c r="G36" s="4" t="s">
        <v>121</v>
      </c>
      <c r="H36" s="4"/>
      <c r="I36" s="4"/>
      <c r="J36" s="5">
        <v>24</v>
      </c>
      <c r="K36" s="5"/>
      <c r="L36" s="9">
        <f>IF(J36&gt;=20,0.2,IF(J36&lt;10,0,((J36-10)*0.1+2.5)/20))</f>
        <v>0.2</v>
      </c>
    </row>
    <row r="37" spans="1:12">
      <c r="A37" s="4" t="s">
        <v>6</v>
      </c>
      <c r="B37" s="33" t="s">
        <v>11</v>
      </c>
      <c r="C37" s="4"/>
      <c r="D37" s="4" t="s">
        <v>126</v>
      </c>
      <c r="E37" s="9" t="s">
        <v>127</v>
      </c>
      <c r="F37" s="8"/>
      <c r="G37" s="8" t="s">
        <v>120</v>
      </c>
      <c r="H37" s="4"/>
      <c r="I37" s="4"/>
      <c r="J37" s="10">
        <v>85</v>
      </c>
      <c r="K37" s="5"/>
      <c r="L37" s="9"/>
    </row>
    <row r="38" spans="1:12">
      <c r="A38" s="4" t="s">
        <v>6</v>
      </c>
      <c r="B38" s="33" t="s">
        <v>11</v>
      </c>
      <c r="C38" s="4"/>
      <c r="D38" s="4" t="s">
        <v>126</v>
      </c>
      <c r="E38" s="9" t="s">
        <v>127</v>
      </c>
      <c r="F38" s="8"/>
      <c r="G38" s="8" t="s">
        <v>121</v>
      </c>
      <c r="H38" s="4"/>
      <c r="I38" s="4"/>
      <c r="J38" s="10">
        <v>87</v>
      </c>
      <c r="K38" s="5"/>
      <c r="L38" s="9"/>
    </row>
    <row r="39" spans="1:12">
      <c r="A39" s="4" t="s">
        <v>6</v>
      </c>
      <c r="B39" s="7" t="s">
        <v>11</v>
      </c>
      <c r="C39" s="4"/>
      <c r="D39" s="4" t="s">
        <v>128</v>
      </c>
      <c r="E39" s="4" t="s">
        <v>129</v>
      </c>
      <c r="F39" s="4"/>
      <c r="G39" s="4" t="s">
        <v>120</v>
      </c>
      <c r="H39" s="4"/>
      <c r="I39" s="4"/>
      <c r="J39" s="9">
        <v>100</v>
      </c>
      <c r="K39" s="5"/>
      <c r="L39" s="9">
        <f>IF(J39=100,0.3,IF(J39&lt;60,0,(J39*0.04-2)/8))</f>
        <v>0.3</v>
      </c>
    </row>
    <row r="40" spans="1:12">
      <c r="A40" s="4" t="s">
        <v>6</v>
      </c>
      <c r="B40" s="7" t="s">
        <v>11</v>
      </c>
      <c r="C40" s="4"/>
      <c r="D40" s="4" t="s">
        <v>128</v>
      </c>
      <c r="E40" s="4" t="s">
        <v>129</v>
      </c>
      <c r="F40" s="4"/>
      <c r="G40" s="4" t="s">
        <v>121</v>
      </c>
      <c r="H40" s="4"/>
      <c r="I40" s="4"/>
      <c r="J40" s="9">
        <v>100</v>
      </c>
      <c r="K40" s="5"/>
      <c r="L40" s="9">
        <f>IF(J40=100,0.3,IF(J40&lt;60,0,(J40*0.04-2)/8))</f>
        <v>0.3</v>
      </c>
    </row>
    <row r="41" spans="1:12">
      <c r="A41" s="4" t="s">
        <v>6</v>
      </c>
      <c r="B41" s="4" t="s">
        <v>11</v>
      </c>
      <c r="C41" s="4"/>
      <c r="D41" s="4" t="s">
        <v>128</v>
      </c>
      <c r="E41" s="4" t="s">
        <v>130</v>
      </c>
      <c r="F41" s="4"/>
      <c r="G41" s="4" t="s">
        <v>121</v>
      </c>
      <c r="H41" s="4"/>
      <c r="I41" s="4"/>
      <c r="J41" s="5">
        <v>23</v>
      </c>
      <c r="K41" s="5"/>
      <c r="L41" s="9">
        <f>IF(J41&gt;=20,0.2,IF(J41&lt;10,0,((J41-10)*0.1+2.5)/20))</f>
        <v>0.2</v>
      </c>
    </row>
    <row r="42" spans="1:12">
      <c r="A42" s="4" t="s">
        <v>6</v>
      </c>
      <c r="B42" s="33" t="s">
        <v>11</v>
      </c>
      <c r="C42" s="4"/>
      <c r="D42" s="4" t="s">
        <v>131</v>
      </c>
      <c r="E42" s="9" t="s">
        <v>132</v>
      </c>
      <c r="F42" s="8"/>
      <c r="G42" s="8"/>
      <c r="H42" s="4"/>
      <c r="I42" s="4"/>
      <c r="J42" s="10">
        <v>2</v>
      </c>
      <c r="K42" s="5">
        <v>0.5</v>
      </c>
      <c r="L42" s="9">
        <v>1</v>
      </c>
    </row>
    <row r="43" spans="1:12">
      <c r="A43" s="4" t="s">
        <v>6</v>
      </c>
      <c r="B43" s="33" t="s">
        <v>12</v>
      </c>
      <c r="C43" s="4"/>
      <c r="D43" s="4" t="s">
        <v>126</v>
      </c>
      <c r="E43" s="9" t="s">
        <v>127</v>
      </c>
      <c r="F43" s="8"/>
      <c r="G43" s="8" t="s">
        <v>120</v>
      </c>
      <c r="H43" s="4"/>
      <c r="I43" s="4"/>
      <c r="J43" s="10">
        <v>95</v>
      </c>
      <c r="K43" s="5"/>
      <c r="L43" s="9"/>
    </row>
    <row r="44" spans="1:12">
      <c r="A44" s="4" t="s">
        <v>6</v>
      </c>
      <c r="B44" s="33" t="s">
        <v>12</v>
      </c>
      <c r="C44" s="4"/>
      <c r="D44" s="4" t="s">
        <v>126</v>
      </c>
      <c r="E44" s="9" t="s">
        <v>127</v>
      </c>
      <c r="F44" s="8"/>
      <c r="G44" s="8" t="s">
        <v>121</v>
      </c>
      <c r="H44" s="4"/>
      <c r="I44" s="4"/>
      <c r="J44" s="10">
        <v>97</v>
      </c>
      <c r="K44" s="5"/>
      <c r="L44" s="9"/>
    </row>
    <row r="45" spans="1:12">
      <c r="A45" s="4" t="s">
        <v>6</v>
      </c>
      <c r="B45" s="7" t="s">
        <v>12</v>
      </c>
      <c r="C45" s="4"/>
      <c r="D45" s="4" t="s">
        <v>128</v>
      </c>
      <c r="E45" s="4" t="s">
        <v>129</v>
      </c>
      <c r="F45" s="4"/>
      <c r="G45" s="4" t="s">
        <v>120</v>
      </c>
      <c r="H45" s="4"/>
      <c r="I45" s="4"/>
      <c r="J45" s="9">
        <v>100</v>
      </c>
      <c r="K45" s="5"/>
      <c r="L45" s="9">
        <f>IF(J45=100,0.3,IF(J45&lt;60,0,(J45*0.04-2)/8))</f>
        <v>0.3</v>
      </c>
    </row>
    <row r="46" spans="1:12">
      <c r="A46" s="4" t="s">
        <v>6</v>
      </c>
      <c r="B46" s="7" t="s">
        <v>12</v>
      </c>
      <c r="C46" s="4"/>
      <c r="D46" s="4" t="s">
        <v>128</v>
      </c>
      <c r="E46" s="4" t="s">
        <v>129</v>
      </c>
      <c r="F46" s="4"/>
      <c r="G46" s="4" t="s">
        <v>121</v>
      </c>
      <c r="H46" s="4"/>
      <c r="I46" s="4"/>
      <c r="J46" s="9">
        <v>100</v>
      </c>
      <c r="K46" s="5"/>
      <c r="L46" s="9">
        <f>IF(J46=100,0.3,IF(J46&lt;60,0,(J46*0.04-2)/8))</f>
        <v>0.3</v>
      </c>
    </row>
    <row r="47" spans="1:12">
      <c r="A47" s="4" t="s">
        <v>6</v>
      </c>
      <c r="B47" s="4" t="s">
        <v>12</v>
      </c>
      <c r="C47" s="4"/>
      <c r="D47" s="4" t="s">
        <v>128</v>
      </c>
      <c r="E47" s="4" t="s">
        <v>130</v>
      </c>
      <c r="F47" s="4"/>
      <c r="G47" s="4" t="s">
        <v>121</v>
      </c>
      <c r="H47" s="4"/>
      <c r="I47" s="4"/>
      <c r="J47" s="5">
        <v>22</v>
      </c>
      <c r="K47" s="5"/>
      <c r="L47" s="9">
        <f>IF(J47&gt;=20,0.2,IF(J47&lt;10,0,((J47-10)*0.1+2.5)/20))</f>
        <v>0.2</v>
      </c>
    </row>
    <row r="48" spans="1:12">
      <c r="A48" s="4" t="s">
        <v>6</v>
      </c>
      <c r="B48" s="33" t="s">
        <v>12</v>
      </c>
      <c r="C48" s="4"/>
      <c r="D48" s="8" t="s">
        <v>131</v>
      </c>
      <c r="E48" s="9" t="s">
        <v>133</v>
      </c>
      <c r="F48" s="8" t="s">
        <v>134</v>
      </c>
      <c r="G48" s="8"/>
      <c r="H48" s="4" t="s">
        <v>135</v>
      </c>
      <c r="I48" s="4" t="s">
        <v>136</v>
      </c>
      <c r="J48" s="10">
        <v>2</v>
      </c>
      <c r="K48" s="5">
        <v>0.5</v>
      </c>
      <c r="L48" s="9">
        <f>J48*K48</f>
        <v>1</v>
      </c>
    </row>
    <row r="49" spans="1:12">
      <c r="A49" s="4" t="s">
        <v>6</v>
      </c>
      <c r="B49" s="33" t="s">
        <v>13</v>
      </c>
      <c r="C49" s="4"/>
      <c r="D49" s="4" t="s">
        <v>126</v>
      </c>
      <c r="E49" s="9" t="s">
        <v>127</v>
      </c>
      <c r="F49" s="8"/>
      <c r="G49" s="8" t="s">
        <v>120</v>
      </c>
      <c r="H49" s="4"/>
      <c r="I49" s="4"/>
      <c r="J49" s="10">
        <v>65</v>
      </c>
      <c r="K49" s="5"/>
      <c r="L49" s="9"/>
    </row>
    <row r="50" spans="1:12">
      <c r="A50" s="4" t="s">
        <v>6</v>
      </c>
      <c r="B50" s="33" t="s">
        <v>13</v>
      </c>
      <c r="C50" s="4"/>
      <c r="D50" s="4" t="s">
        <v>126</v>
      </c>
      <c r="E50" s="9" t="s">
        <v>127</v>
      </c>
      <c r="F50" s="8"/>
      <c r="G50" s="8" t="s">
        <v>121</v>
      </c>
      <c r="H50" s="4"/>
      <c r="I50" s="4"/>
      <c r="J50" s="10">
        <v>64</v>
      </c>
      <c r="K50" s="5"/>
      <c r="L50" s="9"/>
    </row>
    <row r="51" spans="1:12">
      <c r="A51" s="4" t="s">
        <v>6</v>
      </c>
      <c r="B51" s="7" t="s">
        <v>13</v>
      </c>
      <c r="C51" s="4"/>
      <c r="D51" s="4" t="s">
        <v>128</v>
      </c>
      <c r="E51" s="4" t="s">
        <v>129</v>
      </c>
      <c r="F51" s="4"/>
      <c r="G51" s="4" t="s">
        <v>120</v>
      </c>
      <c r="H51" s="4"/>
      <c r="I51" s="4"/>
      <c r="J51" s="9">
        <v>100</v>
      </c>
      <c r="K51" s="5"/>
      <c r="L51" s="9">
        <f>IF(J51=100,0.3,IF(J51&lt;60,0,(J51*0.04-2)/8))</f>
        <v>0.3</v>
      </c>
    </row>
    <row r="52" spans="1:12">
      <c r="A52" s="4" t="s">
        <v>6</v>
      </c>
      <c r="B52" s="7" t="s">
        <v>13</v>
      </c>
      <c r="C52" s="4"/>
      <c r="D52" s="4" t="s">
        <v>128</v>
      </c>
      <c r="E52" s="4" t="s">
        <v>129</v>
      </c>
      <c r="F52" s="4"/>
      <c r="G52" s="4" t="s">
        <v>121</v>
      </c>
      <c r="H52" s="4"/>
      <c r="I52" s="4"/>
      <c r="J52" s="9">
        <v>100</v>
      </c>
      <c r="K52" s="5"/>
      <c r="L52" s="9">
        <f>IF(J52=100,0.3,IF(J52&lt;60,0,(J52*0.04-2)/8))</f>
        <v>0.3</v>
      </c>
    </row>
    <row r="53" spans="1:12">
      <c r="A53" s="4" t="s">
        <v>6</v>
      </c>
      <c r="B53" s="4" t="s">
        <v>13</v>
      </c>
      <c r="C53" s="4"/>
      <c r="D53" s="4" t="s">
        <v>128</v>
      </c>
      <c r="E53" s="4" t="s">
        <v>130</v>
      </c>
      <c r="F53" s="4"/>
      <c r="G53" s="4" t="s">
        <v>121</v>
      </c>
      <c r="H53" s="4"/>
      <c r="I53" s="4"/>
      <c r="J53" s="5">
        <v>21</v>
      </c>
      <c r="K53" s="5"/>
      <c r="L53" s="9">
        <f>IF(J53&gt;=20,0.2,IF(J53&lt;10,0,((J53-10)*0.1+2.5)/20))</f>
        <v>0.2</v>
      </c>
    </row>
    <row r="54" spans="1:12">
      <c r="A54" s="4" t="s">
        <v>6</v>
      </c>
      <c r="B54" s="33" t="s">
        <v>14</v>
      </c>
      <c r="C54" s="4"/>
      <c r="D54" s="4" t="s">
        <v>126</v>
      </c>
      <c r="E54" s="9" t="s">
        <v>127</v>
      </c>
      <c r="F54" s="8"/>
      <c r="G54" s="8" t="s">
        <v>120</v>
      </c>
      <c r="H54" s="4"/>
      <c r="I54" s="4"/>
      <c r="J54" s="10">
        <v>65</v>
      </c>
      <c r="K54" s="5"/>
      <c r="L54" s="9"/>
    </row>
    <row r="55" spans="1:12">
      <c r="A55" s="4" t="s">
        <v>6</v>
      </c>
      <c r="B55" s="33" t="s">
        <v>14</v>
      </c>
      <c r="C55" s="4"/>
      <c r="D55" s="4" t="s">
        <v>126</v>
      </c>
      <c r="E55" s="9" t="s">
        <v>127</v>
      </c>
      <c r="F55" s="8"/>
      <c r="G55" s="8" t="s">
        <v>121</v>
      </c>
      <c r="H55" s="4"/>
      <c r="I55" s="4"/>
      <c r="J55" s="10">
        <v>49</v>
      </c>
      <c r="K55" s="5"/>
      <c r="L55" s="9"/>
    </row>
    <row r="56" spans="1:12">
      <c r="A56" s="4" t="s">
        <v>6</v>
      </c>
      <c r="B56" s="7" t="s">
        <v>14</v>
      </c>
      <c r="C56" s="4"/>
      <c r="D56" s="4" t="s">
        <v>128</v>
      </c>
      <c r="E56" s="4" t="s">
        <v>129</v>
      </c>
      <c r="F56" s="4"/>
      <c r="G56" s="4" t="s">
        <v>120</v>
      </c>
      <c r="H56" s="4"/>
      <c r="I56" s="4"/>
      <c r="J56" s="9">
        <v>78.75</v>
      </c>
      <c r="K56" s="5"/>
      <c r="L56" s="9">
        <f>IF(J56=100,0.3,IF(J56&lt;60,0,(J56*0.04-2)/8))</f>
        <v>0.14375</v>
      </c>
    </row>
    <row r="57" spans="1:12">
      <c r="A57" s="4" t="s">
        <v>6</v>
      </c>
      <c r="B57" s="7" t="s">
        <v>14</v>
      </c>
      <c r="C57" s="4"/>
      <c r="D57" s="4" t="s">
        <v>128</v>
      </c>
      <c r="E57" s="4" t="s">
        <v>129</v>
      </c>
      <c r="F57" s="4"/>
      <c r="G57" s="4" t="s">
        <v>121</v>
      </c>
      <c r="H57" s="4"/>
      <c r="I57" s="4"/>
      <c r="J57" s="9">
        <v>50.7416666666667</v>
      </c>
      <c r="K57" s="5"/>
      <c r="L57" s="9">
        <f>IF(J57=100,0.3,IF(J57&lt;60,0,(J57*0.04-2)/8))</f>
        <v>0</v>
      </c>
    </row>
    <row r="58" spans="1:12">
      <c r="A58" s="4" t="s">
        <v>6</v>
      </c>
      <c r="B58" s="4" t="s">
        <v>14</v>
      </c>
      <c r="C58" s="4"/>
      <c r="D58" s="4" t="s">
        <v>128</v>
      </c>
      <c r="E58" s="4" t="s">
        <v>130</v>
      </c>
      <c r="F58" s="4"/>
      <c r="G58" s="4" t="s">
        <v>121</v>
      </c>
      <c r="H58" s="4"/>
      <c r="I58" s="4"/>
      <c r="J58" s="5">
        <v>23</v>
      </c>
      <c r="K58" s="5"/>
      <c r="L58" s="9">
        <f>IF(J58&gt;=20,0.2,IF(J58&lt;10,0,((J58-10)*0.1+2.5)/20))</f>
        <v>0.2</v>
      </c>
    </row>
    <row r="59" spans="1:12">
      <c r="A59" s="4" t="s">
        <v>6</v>
      </c>
      <c r="B59" s="33" t="s">
        <v>15</v>
      </c>
      <c r="C59" s="4"/>
      <c r="D59" s="4" t="s">
        <v>126</v>
      </c>
      <c r="E59" s="9" t="s">
        <v>127</v>
      </c>
      <c r="F59" s="8"/>
      <c r="G59" s="8" t="s">
        <v>120</v>
      </c>
      <c r="H59" s="4"/>
      <c r="I59" s="4"/>
      <c r="J59" s="10">
        <v>65</v>
      </c>
      <c r="K59" s="5"/>
      <c r="L59" s="9"/>
    </row>
    <row r="60" spans="1:12">
      <c r="A60" s="4" t="s">
        <v>6</v>
      </c>
      <c r="B60" s="33" t="s">
        <v>15</v>
      </c>
      <c r="C60" s="4"/>
      <c r="D60" s="4" t="s">
        <v>126</v>
      </c>
      <c r="E60" s="9" t="s">
        <v>127</v>
      </c>
      <c r="F60" s="8"/>
      <c r="G60" s="8" t="s">
        <v>121</v>
      </c>
      <c r="H60" s="4"/>
      <c r="I60" s="4"/>
      <c r="J60" s="10">
        <v>77</v>
      </c>
      <c r="K60" s="5"/>
      <c r="L60" s="9"/>
    </row>
    <row r="61" spans="1:12">
      <c r="A61" s="4" t="s">
        <v>6</v>
      </c>
      <c r="B61" s="7" t="s">
        <v>15</v>
      </c>
      <c r="C61" s="4"/>
      <c r="D61" s="4" t="s">
        <v>128</v>
      </c>
      <c r="E61" s="4" t="s">
        <v>129</v>
      </c>
      <c r="F61" s="4"/>
      <c r="G61" s="4" t="s">
        <v>120</v>
      </c>
      <c r="H61" s="4"/>
      <c r="I61" s="4"/>
      <c r="J61" s="9">
        <v>85.4916666666667</v>
      </c>
      <c r="K61" s="5"/>
      <c r="L61" s="9">
        <f>IF(J61=100,0.3,IF(J61&lt;60,0,(J61*0.04-2)/8))</f>
        <v>0.177458333333333</v>
      </c>
    </row>
    <row r="62" spans="1:12">
      <c r="A62" s="4" t="s">
        <v>6</v>
      </c>
      <c r="B62" s="7" t="s">
        <v>15</v>
      </c>
      <c r="C62" s="4"/>
      <c r="D62" s="4" t="s">
        <v>128</v>
      </c>
      <c r="E62" s="4" t="s">
        <v>129</v>
      </c>
      <c r="F62" s="4"/>
      <c r="G62" s="4" t="s">
        <v>121</v>
      </c>
      <c r="H62" s="4"/>
      <c r="I62" s="4"/>
      <c r="J62" s="9">
        <v>70.3083333333333</v>
      </c>
      <c r="K62" s="5"/>
      <c r="L62" s="9">
        <f>IF(J62=100,0.3,IF(J62&lt;60,0,(J62*0.04-2)/8))</f>
        <v>0.101541666666667</v>
      </c>
    </row>
    <row r="63" spans="1:12">
      <c r="A63" s="4" t="s">
        <v>6</v>
      </c>
      <c r="B63" s="4" t="s">
        <v>15</v>
      </c>
      <c r="C63" s="4"/>
      <c r="D63" s="4" t="s">
        <v>128</v>
      </c>
      <c r="E63" s="4" t="s">
        <v>130</v>
      </c>
      <c r="F63" s="4"/>
      <c r="G63" s="4" t="s">
        <v>121</v>
      </c>
      <c r="H63" s="4"/>
      <c r="I63" s="4"/>
      <c r="J63" s="5">
        <v>21</v>
      </c>
      <c r="K63" s="5"/>
      <c r="L63" s="9">
        <f>IF(J63&gt;=20,0.2,IF(J63&lt;10,0,((J63-10)*0.1+2.5)/20))</f>
        <v>0.2</v>
      </c>
    </row>
    <row r="64" spans="1:12">
      <c r="A64" s="4" t="s">
        <v>6</v>
      </c>
      <c r="B64" s="33" t="s">
        <v>16</v>
      </c>
      <c r="C64" s="4"/>
      <c r="D64" s="4" t="s">
        <v>126</v>
      </c>
      <c r="E64" s="9" t="s">
        <v>127</v>
      </c>
      <c r="F64" s="8"/>
      <c r="G64" s="8" t="s">
        <v>120</v>
      </c>
      <c r="H64" s="4"/>
      <c r="I64" s="4"/>
      <c r="J64" s="10">
        <v>65</v>
      </c>
      <c r="K64" s="5"/>
      <c r="L64" s="9"/>
    </row>
    <row r="65" spans="1:12">
      <c r="A65" s="4" t="s">
        <v>6</v>
      </c>
      <c r="B65" s="33" t="s">
        <v>16</v>
      </c>
      <c r="C65" s="4"/>
      <c r="D65" s="4" t="s">
        <v>126</v>
      </c>
      <c r="E65" s="9" t="s">
        <v>127</v>
      </c>
      <c r="F65" s="8"/>
      <c r="G65" s="8" t="s">
        <v>121</v>
      </c>
      <c r="H65" s="4"/>
      <c r="I65" s="4"/>
      <c r="J65" s="10">
        <v>44</v>
      </c>
      <c r="K65" s="5"/>
      <c r="L65" s="9"/>
    </row>
    <row r="66" spans="1:12">
      <c r="A66" s="4" t="s">
        <v>6</v>
      </c>
      <c r="B66" s="7" t="s">
        <v>16</v>
      </c>
      <c r="C66" s="4"/>
      <c r="D66" s="4" t="s">
        <v>128</v>
      </c>
      <c r="E66" s="4" t="s">
        <v>129</v>
      </c>
      <c r="F66" s="4"/>
      <c r="G66" s="4" t="s">
        <v>120</v>
      </c>
      <c r="H66" s="4"/>
      <c r="I66" s="4"/>
      <c r="J66" s="9">
        <v>90</v>
      </c>
      <c r="K66" s="5"/>
      <c r="L66" s="9">
        <f>IF(J66=100,0.3,IF(J66&lt;60,0,(J66*0.04-2)/8))</f>
        <v>0.2</v>
      </c>
    </row>
    <row r="67" spans="1:12">
      <c r="A67" s="4" t="s">
        <v>6</v>
      </c>
      <c r="B67" s="7" t="s">
        <v>16</v>
      </c>
      <c r="C67" s="4"/>
      <c r="D67" s="4" t="s">
        <v>128</v>
      </c>
      <c r="E67" s="4" t="s">
        <v>129</v>
      </c>
      <c r="F67" s="4"/>
      <c r="G67" s="4" t="s">
        <v>121</v>
      </c>
      <c r="H67" s="4"/>
      <c r="I67" s="4"/>
      <c r="J67" s="9">
        <v>43.625</v>
      </c>
      <c r="K67" s="5"/>
      <c r="L67" s="9">
        <f>IF(J67=100,0.3,IF(J67&lt;60,0,(J67*0.04-2)/8))</f>
        <v>0</v>
      </c>
    </row>
    <row r="68" spans="1:12">
      <c r="A68" s="4" t="s">
        <v>6</v>
      </c>
      <c r="B68" s="4" t="s">
        <v>16</v>
      </c>
      <c r="C68" s="4"/>
      <c r="D68" s="4" t="s">
        <v>128</v>
      </c>
      <c r="E68" s="4" t="s">
        <v>130</v>
      </c>
      <c r="F68" s="4"/>
      <c r="G68" s="4" t="s">
        <v>121</v>
      </c>
      <c r="H68" s="4"/>
      <c r="I68" s="4"/>
      <c r="J68" s="5">
        <v>7</v>
      </c>
      <c r="K68" s="5"/>
      <c r="L68" s="9">
        <f>IF(J68&gt;=20,0.2,IF(J68&lt;10,0,((J68-10)*0.1+2.5)/20))</f>
        <v>0</v>
      </c>
    </row>
    <row r="69" spans="1:12">
      <c r="A69" s="4" t="s">
        <v>6</v>
      </c>
      <c r="B69" s="33" t="s">
        <v>17</v>
      </c>
      <c r="C69" s="4"/>
      <c r="D69" s="4" t="s">
        <v>126</v>
      </c>
      <c r="E69" s="9" t="s">
        <v>127</v>
      </c>
      <c r="F69" s="8"/>
      <c r="G69" s="8" t="s">
        <v>120</v>
      </c>
      <c r="H69" s="4"/>
      <c r="I69" s="4"/>
      <c r="J69" s="10">
        <v>88</v>
      </c>
      <c r="K69" s="5"/>
      <c r="L69" s="9"/>
    </row>
    <row r="70" spans="1:12">
      <c r="A70" s="4" t="s">
        <v>6</v>
      </c>
      <c r="B70" s="33" t="s">
        <v>17</v>
      </c>
      <c r="C70" s="4"/>
      <c r="D70" s="4" t="s">
        <v>126</v>
      </c>
      <c r="E70" s="9" t="s">
        <v>127</v>
      </c>
      <c r="F70" s="8"/>
      <c r="G70" s="8" t="s">
        <v>121</v>
      </c>
      <c r="H70" s="4"/>
      <c r="I70" s="4"/>
      <c r="J70" s="10">
        <v>82</v>
      </c>
      <c r="K70" s="5"/>
      <c r="L70" s="9"/>
    </row>
    <row r="71" spans="1:12">
      <c r="A71" s="4" t="s">
        <v>6</v>
      </c>
      <c r="B71" s="7" t="s">
        <v>17</v>
      </c>
      <c r="C71" s="4"/>
      <c r="D71" s="4" t="s">
        <v>128</v>
      </c>
      <c r="E71" s="4" t="s">
        <v>129</v>
      </c>
      <c r="F71" s="4"/>
      <c r="G71" s="4" t="s">
        <v>120</v>
      </c>
      <c r="H71" s="4"/>
      <c r="I71" s="4"/>
      <c r="J71" s="9">
        <v>92.2333333333333</v>
      </c>
      <c r="K71" s="5"/>
      <c r="L71" s="9">
        <f>IF(J71=100,0.3,IF(J71&lt;60,0,(J71*0.04-2)/8))</f>
        <v>0.211166666666667</v>
      </c>
    </row>
    <row r="72" spans="1:12">
      <c r="A72" s="4" t="s">
        <v>6</v>
      </c>
      <c r="B72" s="7" t="s">
        <v>17</v>
      </c>
      <c r="C72" s="4"/>
      <c r="D72" s="4" t="s">
        <v>128</v>
      </c>
      <c r="E72" s="4" t="s">
        <v>129</v>
      </c>
      <c r="F72" s="4"/>
      <c r="G72" s="4" t="s">
        <v>121</v>
      </c>
      <c r="H72" s="4"/>
      <c r="I72" s="4"/>
      <c r="J72" s="9">
        <v>60.3083333333333</v>
      </c>
      <c r="K72" s="5"/>
      <c r="L72" s="9">
        <f>IF(J72=100,0.3,IF(J72&lt;60,0,(J72*0.04-2)/8))</f>
        <v>0.0515416666666667</v>
      </c>
    </row>
    <row r="73" spans="1:12">
      <c r="A73" s="4" t="s">
        <v>6</v>
      </c>
      <c r="B73" s="4" t="s">
        <v>17</v>
      </c>
      <c r="C73" s="4"/>
      <c r="D73" s="4" t="s">
        <v>128</v>
      </c>
      <c r="E73" s="4" t="s">
        <v>130</v>
      </c>
      <c r="F73" s="4"/>
      <c r="G73" s="4" t="s">
        <v>121</v>
      </c>
      <c r="H73" s="4"/>
      <c r="I73" s="4"/>
      <c r="J73" s="5">
        <v>20</v>
      </c>
      <c r="K73" s="5"/>
      <c r="L73" s="9">
        <f>IF(J73&gt;=20,0.2,IF(J73&lt;10,0,((J73-10)*0.1+2.5)/20))</f>
        <v>0.2</v>
      </c>
    </row>
    <row r="74" spans="1:12">
      <c r="A74" s="4" t="s">
        <v>6</v>
      </c>
      <c r="B74" s="33" t="s">
        <v>18</v>
      </c>
      <c r="C74" s="4"/>
      <c r="D74" s="4" t="s">
        <v>126</v>
      </c>
      <c r="E74" s="9" t="s">
        <v>127</v>
      </c>
      <c r="F74" s="8"/>
      <c r="G74" s="8" t="s">
        <v>120</v>
      </c>
      <c r="H74" s="4"/>
      <c r="I74" s="4"/>
      <c r="J74" s="10">
        <v>65</v>
      </c>
      <c r="K74" s="5"/>
      <c r="L74" s="9"/>
    </row>
    <row r="75" spans="1:12">
      <c r="A75" s="4" t="s">
        <v>6</v>
      </c>
      <c r="B75" s="33" t="s">
        <v>18</v>
      </c>
      <c r="C75" s="4"/>
      <c r="D75" s="4" t="s">
        <v>126</v>
      </c>
      <c r="E75" s="9" t="s">
        <v>127</v>
      </c>
      <c r="F75" s="8"/>
      <c r="G75" s="8" t="s">
        <v>121</v>
      </c>
      <c r="H75" s="4"/>
      <c r="I75" s="4"/>
      <c r="J75" s="10">
        <v>65</v>
      </c>
      <c r="K75" s="5"/>
      <c r="L75" s="9"/>
    </row>
    <row r="76" spans="1:12">
      <c r="A76" s="4" t="s">
        <v>6</v>
      </c>
      <c r="B76" s="7" t="s">
        <v>18</v>
      </c>
      <c r="C76" s="4"/>
      <c r="D76" s="4" t="s">
        <v>128</v>
      </c>
      <c r="E76" s="4" t="s">
        <v>129</v>
      </c>
      <c r="F76" s="4"/>
      <c r="G76" s="4" t="s">
        <v>120</v>
      </c>
      <c r="H76" s="4"/>
      <c r="I76" s="4"/>
      <c r="J76" s="9">
        <v>36.7333333333333</v>
      </c>
      <c r="K76" s="5"/>
      <c r="L76" s="9">
        <f>IF(J76=100,0.3,IF(J76&lt;60,0,(J76*0.04-2)/8))</f>
        <v>0</v>
      </c>
    </row>
    <row r="77" spans="1:12">
      <c r="A77" s="4" t="s">
        <v>6</v>
      </c>
      <c r="B77" s="7" t="s">
        <v>18</v>
      </c>
      <c r="C77" s="4"/>
      <c r="D77" s="4" t="s">
        <v>128</v>
      </c>
      <c r="E77" s="4" t="s">
        <v>129</v>
      </c>
      <c r="F77" s="4"/>
      <c r="G77" s="4" t="s">
        <v>121</v>
      </c>
      <c r="H77" s="4"/>
      <c r="I77" s="4"/>
      <c r="J77" s="9">
        <v>13.025</v>
      </c>
      <c r="K77" s="5"/>
      <c r="L77" s="9">
        <f>IF(J77=100,0.3,IF(J77&lt;60,0,(J77*0.04-2)/8))</f>
        <v>0</v>
      </c>
    </row>
    <row r="78" spans="1:12">
      <c r="A78" s="4" t="s">
        <v>6</v>
      </c>
      <c r="B78" s="4" t="s">
        <v>18</v>
      </c>
      <c r="C78" s="4"/>
      <c r="D78" s="4" t="s">
        <v>128</v>
      </c>
      <c r="E78" s="4" t="s">
        <v>130</v>
      </c>
      <c r="F78" s="4"/>
      <c r="G78" s="4" t="s">
        <v>121</v>
      </c>
      <c r="H78" s="4"/>
      <c r="I78" s="4"/>
      <c r="J78" s="5">
        <v>19</v>
      </c>
      <c r="K78" s="5"/>
      <c r="L78" s="9">
        <f>IF(J78&gt;=20,0.2,IF(J78&lt;10,0,((J78-10)*0.1+2.5)/20))</f>
        <v>0.17</v>
      </c>
    </row>
    <row r="79" spans="1:12">
      <c r="A79" s="4" t="s">
        <v>6</v>
      </c>
      <c r="B79" s="33" t="s">
        <v>19</v>
      </c>
      <c r="C79" s="4"/>
      <c r="D79" s="4" t="s">
        <v>126</v>
      </c>
      <c r="E79" s="9" t="s">
        <v>127</v>
      </c>
      <c r="F79" s="8"/>
      <c r="G79" s="8" t="s">
        <v>120</v>
      </c>
      <c r="H79" s="4"/>
      <c r="I79" s="4"/>
      <c r="J79" s="10">
        <v>91</v>
      </c>
      <c r="K79" s="5"/>
      <c r="L79" s="9"/>
    </row>
    <row r="80" spans="1:12">
      <c r="A80" s="4" t="s">
        <v>6</v>
      </c>
      <c r="B80" s="33" t="s">
        <v>19</v>
      </c>
      <c r="C80" s="4"/>
      <c r="D80" s="4" t="s">
        <v>126</v>
      </c>
      <c r="E80" s="9" t="s">
        <v>127</v>
      </c>
      <c r="F80" s="8"/>
      <c r="G80" s="8" t="s">
        <v>121</v>
      </c>
      <c r="H80" s="4"/>
      <c r="I80" s="4"/>
      <c r="J80" s="10">
        <v>91</v>
      </c>
      <c r="K80" s="5"/>
      <c r="L80" s="9"/>
    </row>
    <row r="81" spans="1:12">
      <c r="A81" s="4" t="s">
        <v>6</v>
      </c>
      <c r="B81" s="7" t="s">
        <v>19</v>
      </c>
      <c r="C81" s="4"/>
      <c r="D81" s="4" t="s">
        <v>128</v>
      </c>
      <c r="E81" s="4" t="s">
        <v>129</v>
      </c>
      <c r="F81" s="4"/>
      <c r="G81" s="4" t="s">
        <v>120</v>
      </c>
      <c r="H81" s="4"/>
      <c r="I81" s="4"/>
      <c r="J81" s="9">
        <v>100</v>
      </c>
      <c r="K81" s="5"/>
      <c r="L81" s="9">
        <f>IF(J81=100,0.3,IF(J81&lt;60,0,(J81*0.04-2)/8))</f>
        <v>0.3</v>
      </c>
    </row>
    <row r="82" spans="1:12">
      <c r="A82" s="4" t="s">
        <v>6</v>
      </c>
      <c r="B82" s="7" t="s">
        <v>19</v>
      </c>
      <c r="C82" s="4"/>
      <c r="D82" s="4" t="s">
        <v>128</v>
      </c>
      <c r="E82" s="4" t="s">
        <v>129</v>
      </c>
      <c r="F82" s="4"/>
      <c r="G82" s="4" t="s">
        <v>121</v>
      </c>
      <c r="H82" s="4"/>
      <c r="I82" s="4"/>
      <c r="J82" s="9">
        <v>100</v>
      </c>
      <c r="K82" s="5"/>
      <c r="L82" s="9">
        <f>IF(J82=100,0.3,IF(J82&lt;60,0,(J82*0.04-2)/8))</f>
        <v>0.3</v>
      </c>
    </row>
    <row r="83" spans="1:12">
      <c r="A83" s="4" t="s">
        <v>6</v>
      </c>
      <c r="B83" s="4" t="s">
        <v>19</v>
      </c>
      <c r="C83" s="4"/>
      <c r="D83" s="4" t="s">
        <v>128</v>
      </c>
      <c r="E83" s="4" t="s">
        <v>130</v>
      </c>
      <c r="F83" s="4"/>
      <c r="G83" s="4" t="s">
        <v>121</v>
      </c>
      <c r="H83" s="4"/>
      <c r="I83" s="4"/>
      <c r="J83" s="5">
        <v>22</v>
      </c>
      <c r="K83" s="5"/>
      <c r="L83" s="9">
        <f>IF(J83&gt;=20,0.2,IF(J83&lt;10,0,((J83-10)*0.1+2.5)/20))</f>
        <v>0.2</v>
      </c>
    </row>
    <row r="84" spans="1:12">
      <c r="A84" s="4" t="s">
        <v>6</v>
      </c>
      <c r="B84" s="33" t="s">
        <v>19</v>
      </c>
      <c r="C84" s="4"/>
      <c r="D84" s="4" t="s">
        <v>131</v>
      </c>
      <c r="E84" s="9" t="s">
        <v>133</v>
      </c>
      <c r="F84" s="8" t="s">
        <v>134</v>
      </c>
      <c r="G84" s="8"/>
      <c r="H84" s="4" t="s">
        <v>135</v>
      </c>
      <c r="I84" s="4" t="s">
        <v>136</v>
      </c>
      <c r="J84" s="10">
        <v>2</v>
      </c>
      <c r="K84" s="5">
        <v>0.5</v>
      </c>
      <c r="L84" s="9">
        <f>J84*K84</f>
        <v>1</v>
      </c>
    </row>
    <row r="85" spans="1:12">
      <c r="A85" s="4" t="s">
        <v>6</v>
      </c>
      <c r="B85" s="33" t="s">
        <v>20</v>
      </c>
      <c r="C85" s="4"/>
      <c r="D85" s="4" t="s">
        <v>126</v>
      </c>
      <c r="E85" s="9" t="s">
        <v>127</v>
      </c>
      <c r="F85" s="8"/>
      <c r="G85" s="8" t="s">
        <v>120</v>
      </c>
      <c r="H85" s="4"/>
      <c r="I85" s="4"/>
      <c r="J85" s="10">
        <v>88</v>
      </c>
      <c r="K85" s="5"/>
      <c r="L85" s="9"/>
    </row>
    <row r="86" spans="1:12">
      <c r="A86" s="4" t="s">
        <v>6</v>
      </c>
      <c r="B86" s="33" t="s">
        <v>20</v>
      </c>
      <c r="C86" s="4"/>
      <c r="D86" s="4" t="s">
        <v>126</v>
      </c>
      <c r="E86" s="9" t="s">
        <v>127</v>
      </c>
      <c r="F86" s="8"/>
      <c r="G86" s="8" t="s">
        <v>121</v>
      </c>
      <c r="H86" s="4"/>
      <c r="I86" s="4"/>
      <c r="J86" s="10">
        <v>91</v>
      </c>
      <c r="K86" s="5"/>
      <c r="L86" s="9"/>
    </row>
    <row r="87" spans="1:12">
      <c r="A87" s="4" t="s">
        <v>6</v>
      </c>
      <c r="B87" s="7" t="s">
        <v>20</v>
      </c>
      <c r="C87" s="4"/>
      <c r="D87" s="4" t="s">
        <v>128</v>
      </c>
      <c r="E87" s="4" t="s">
        <v>129</v>
      </c>
      <c r="F87" s="4"/>
      <c r="G87" s="4" t="s">
        <v>120</v>
      </c>
      <c r="H87" s="4"/>
      <c r="I87" s="4"/>
      <c r="J87" s="9">
        <v>100</v>
      </c>
      <c r="K87" s="5"/>
      <c r="L87" s="9">
        <f>IF(J87=100,0.3,IF(J87&lt;60,0,(J87*0.04-2)/8))</f>
        <v>0.3</v>
      </c>
    </row>
    <row r="88" spans="1:12">
      <c r="A88" s="4" t="s">
        <v>6</v>
      </c>
      <c r="B88" s="7" t="s">
        <v>20</v>
      </c>
      <c r="C88" s="4"/>
      <c r="D88" s="4" t="s">
        <v>128</v>
      </c>
      <c r="E88" s="4" t="s">
        <v>129</v>
      </c>
      <c r="F88" s="4"/>
      <c r="G88" s="4" t="s">
        <v>121</v>
      </c>
      <c r="H88" s="4"/>
      <c r="I88" s="4"/>
      <c r="J88" s="9">
        <v>100</v>
      </c>
      <c r="K88" s="5"/>
      <c r="L88" s="9">
        <f>IF(J88=100,0.3,IF(J88&lt;60,0,(J88*0.04-2)/8))</f>
        <v>0.3</v>
      </c>
    </row>
    <row r="89" spans="1:12">
      <c r="A89" s="4" t="s">
        <v>6</v>
      </c>
      <c r="B89" s="4" t="s">
        <v>20</v>
      </c>
      <c r="C89" s="4"/>
      <c r="D89" s="4" t="s">
        <v>128</v>
      </c>
      <c r="E89" s="4" t="s">
        <v>130</v>
      </c>
      <c r="F89" s="4"/>
      <c r="G89" s="4" t="s">
        <v>121</v>
      </c>
      <c r="H89" s="4"/>
      <c r="I89" s="4"/>
      <c r="J89" s="5">
        <v>20</v>
      </c>
      <c r="K89" s="5"/>
      <c r="L89" s="9">
        <f>IF(J89&gt;=20,0.2,IF(J89&lt;10,0,((J89-10)*0.1+2.5)/20))</f>
        <v>0.2</v>
      </c>
    </row>
    <row r="90" spans="1:12">
      <c r="A90" s="4" t="s">
        <v>6</v>
      </c>
      <c r="B90" s="33" t="s">
        <v>21</v>
      </c>
      <c r="C90" s="4"/>
      <c r="D90" s="4" t="s">
        <v>126</v>
      </c>
      <c r="E90" s="9" t="s">
        <v>127</v>
      </c>
      <c r="F90" s="8"/>
      <c r="G90" s="8" t="s">
        <v>120</v>
      </c>
      <c r="H90" s="4"/>
      <c r="I90" s="4"/>
      <c r="J90" s="10">
        <v>89</v>
      </c>
      <c r="K90" s="5"/>
      <c r="L90" s="9"/>
    </row>
    <row r="91" spans="1:12">
      <c r="A91" s="4" t="s">
        <v>6</v>
      </c>
      <c r="B91" s="33" t="s">
        <v>21</v>
      </c>
      <c r="C91" s="4"/>
      <c r="D91" s="4" t="s">
        <v>126</v>
      </c>
      <c r="E91" s="9" t="s">
        <v>127</v>
      </c>
      <c r="F91" s="8"/>
      <c r="G91" s="8" t="s">
        <v>121</v>
      </c>
      <c r="H91" s="4"/>
      <c r="I91" s="4"/>
      <c r="J91" s="10">
        <v>85</v>
      </c>
      <c r="K91" s="5"/>
      <c r="L91" s="9"/>
    </row>
    <row r="92" spans="1:12">
      <c r="A92" s="4" t="s">
        <v>6</v>
      </c>
      <c r="B92" s="7" t="s">
        <v>21</v>
      </c>
      <c r="C92" s="4"/>
      <c r="D92" s="4" t="s">
        <v>128</v>
      </c>
      <c r="E92" s="4" t="s">
        <v>129</v>
      </c>
      <c r="F92" s="4"/>
      <c r="G92" s="4" t="s">
        <v>120</v>
      </c>
      <c r="H92" s="4"/>
      <c r="I92" s="4"/>
      <c r="J92" s="9">
        <v>91.0083333333333</v>
      </c>
      <c r="K92" s="5"/>
      <c r="L92" s="9">
        <f>IF(J92=100,0.3,IF(J92&lt;60,0,(J92*0.04-2)/8))</f>
        <v>0.205041666666667</v>
      </c>
    </row>
    <row r="93" spans="1:12">
      <c r="A93" s="4" t="s">
        <v>6</v>
      </c>
      <c r="B93" s="7" t="s">
        <v>21</v>
      </c>
      <c r="C93" s="4"/>
      <c r="D93" s="4" t="s">
        <v>128</v>
      </c>
      <c r="E93" s="4" t="s">
        <v>129</v>
      </c>
      <c r="F93" s="4"/>
      <c r="G93" s="4" t="s">
        <v>121</v>
      </c>
      <c r="H93" s="4"/>
      <c r="I93" s="4"/>
      <c r="J93" s="9">
        <v>52.8666666666667</v>
      </c>
      <c r="K93" s="5"/>
      <c r="L93" s="9">
        <f>IF(J93=100,0.3,IF(J93&lt;60,0,(J93*0.04-2)/8))</f>
        <v>0</v>
      </c>
    </row>
    <row r="94" spans="1:12">
      <c r="A94" s="4" t="s">
        <v>6</v>
      </c>
      <c r="B94" s="4" t="s">
        <v>21</v>
      </c>
      <c r="C94" s="4"/>
      <c r="D94" s="4" t="s">
        <v>128</v>
      </c>
      <c r="E94" s="4" t="s">
        <v>130</v>
      </c>
      <c r="F94" s="4"/>
      <c r="G94" s="4" t="s">
        <v>121</v>
      </c>
      <c r="H94" s="4"/>
      <c r="I94" s="4"/>
      <c r="J94" s="5">
        <v>19.5</v>
      </c>
      <c r="K94" s="5"/>
      <c r="L94" s="9">
        <f>IF(J94&gt;=20,0.2,IF(J94&lt;10,0,((J94-10)*0.1+2.5)/20))</f>
        <v>0.1725</v>
      </c>
    </row>
    <row r="95" spans="1:12">
      <c r="A95" s="4" t="s">
        <v>6</v>
      </c>
      <c r="B95" s="33" t="s">
        <v>22</v>
      </c>
      <c r="C95" s="4"/>
      <c r="D95" s="4" t="s">
        <v>126</v>
      </c>
      <c r="E95" s="9" t="s">
        <v>127</v>
      </c>
      <c r="F95" s="8"/>
      <c r="G95" s="8" t="s">
        <v>120</v>
      </c>
      <c r="H95" s="4"/>
      <c r="I95" s="4"/>
      <c r="J95" s="10">
        <v>86</v>
      </c>
      <c r="K95" s="5"/>
      <c r="L95" s="9"/>
    </row>
    <row r="96" spans="1:12">
      <c r="A96" s="4" t="s">
        <v>6</v>
      </c>
      <c r="B96" s="33" t="s">
        <v>22</v>
      </c>
      <c r="C96" s="4"/>
      <c r="D96" s="4" t="s">
        <v>126</v>
      </c>
      <c r="E96" s="9" t="s">
        <v>127</v>
      </c>
      <c r="F96" s="8"/>
      <c r="G96" s="8" t="s">
        <v>121</v>
      </c>
      <c r="H96" s="4"/>
      <c r="I96" s="4"/>
      <c r="J96" s="10">
        <v>88</v>
      </c>
      <c r="K96" s="5"/>
      <c r="L96" s="9"/>
    </row>
    <row r="97" spans="1:12">
      <c r="A97" s="4" t="s">
        <v>6</v>
      </c>
      <c r="B97" s="7" t="s">
        <v>22</v>
      </c>
      <c r="C97" s="4"/>
      <c r="D97" s="4" t="s">
        <v>128</v>
      </c>
      <c r="E97" s="4" t="s">
        <v>129</v>
      </c>
      <c r="F97" s="4"/>
      <c r="G97" s="4" t="s">
        <v>120</v>
      </c>
      <c r="H97" s="4"/>
      <c r="I97" s="4"/>
      <c r="J97" s="9">
        <v>100</v>
      </c>
      <c r="K97" s="5"/>
      <c r="L97" s="9">
        <f>IF(J97=100,0.3,IF(J97&lt;60,0,(J97*0.04-2)/8))</f>
        <v>0.3</v>
      </c>
    </row>
    <row r="98" spans="1:12">
      <c r="A98" s="4" t="s">
        <v>6</v>
      </c>
      <c r="B98" s="7" t="s">
        <v>22</v>
      </c>
      <c r="C98" s="4"/>
      <c r="D98" s="4" t="s">
        <v>128</v>
      </c>
      <c r="E98" s="4" t="s">
        <v>129</v>
      </c>
      <c r="F98" s="4"/>
      <c r="G98" s="4" t="s">
        <v>121</v>
      </c>
      <c r="H98" s="4"/>
      <c r="I98" s="4"/>
      <c r="J98" s="9">
        <v>100</v>
      </c>
      <c r="K98" s="5"/>
      <c r="L98" s="9">
        <f>IF(J98=100,0.3,IF(J98&lt;60,0,(J98*0.04-2)/8))</f>
        <v>0.3</v>
      </c>
    </row>
    <row r="99" spans="1:12">
      <c r="A99" s="4" t="s">
        <v>6</v>
      </c>
      <c r="B99" s="4" t="s">
        <v>22</v>
      </c>
      <c r="C99" s="4"/>
      <c r="D99" s="4" t="s">
        <v>128</v>
      </c>
      <c r="E99" s="4" t="s">
        <v>130</v>
      </c>
      <c r="F99" s="4"/>
      <c r="G99" s="4" t="s">
        <v>121</v>
      </c>
      <c r="H99" s="4"/>
      <c r="I99" s="4"/>
      <c r="J99" s="5">
        <v>22</v>
      </c>
      <c r="K99" s="5"/>
      <c r="L99" s="9">
        <f>IF(J99&gt;=20,0.2,IF(J99&lt;10,0,((J99-10)*0.1+2.5)/20))</f>
        <v>0.2</v>
      </c>
    </row>
    <row r="100" spans="1:12">
      <c r="A100" s="4" t="s">
        <v>6</v>
      </c>
      <c r="B100" s="33" t="s">
        <v>23</v>
      </c>
      <c r="C100" s="4"/>
      <c r="D100" s="4" t="s">
        <v>126</v>
      </c>
      <c r="E100" s="9" t="s">
        <v>127</v>
      </c>
      <c r="F100" s="8"/>
      <c r="G100" s="8" t="s">
        <v>120</v>
      </c>
      <c r="H100" s="4"/>
      <c r="I100" s="4"/>
      <c r="J100" s="10">
        <v>81</v>
      </c>
      <c r="K100" s="5"/>
      <c r="L100" s="9"/>
    </row>
    <row r="101" spans="1:12">
      <c r="A101" s="4" t="s">
        <v>6</v>
      </c>
      <c r="B101" s="33" t="s">
        <v>23</v>
      </c>
      <c r="C101" s="4"/>
      <c r="D101" s="4" t="s">
        <v>126</v>
      </c>
      <c r="E101" s="9" t="s">
        <v>127</v>
      </c>
      <c r="F101" s="8"/>
      <c r="G101" s="8" t="s">
        <v>121</v>
      </c>
      <c r="H101" s="4"/>
      <c r="I101" s="4"/>
      <c r="J101" s="10">
        <v>82</v>
      </c>
      <c r="K101" s="5"/>
      <c r="L101" s="9"/>
    </row>
    <row r="102" spans="1:12">
      <c r="A102" s="4" t="s">
        <v>6</v>
      </c>
      <c r="B102" s="7" t="s">
        <v>23</v>
      </c>
      <c r="C102" s="4"/>
      <c r="D102" s="4" t="s">
        <v>128</v>
      </c>
      <c r="E102" s="4" t="s">
        <v>129</v>
      </c>
      <c r="F102" s="4"/>
      <c r="G102" s="4" t="s">
        <v>120</v>
      </c>
      <c r="H102" s="4"/>
      <c r="I102" s="4"/>
      <c r="J102" s="9">
        <v>100</v>
      </c>
      <c r="K102" s="5"/>
      <c r="L102" s="9">
        <f>IF(J102=100,0.3,IF(J102&lt;60,0,(J102*0.04-2)/8))</f>
        <v>0.3</v>
      </c>
    </row>
    <row r="103" spans="1:12">
      <c r="A103" s="4" t="s">
        <v>6</v>
      </c>
      <c r="B103" s="7" t="s">
        <v>23</v>
      </c>
      <c r="C103" s="4"/>
      <c r="D103" s="4" t="s">
        <v>128</v>
      </c>
      <c r="E103" s="4" t="s">
        <v>129</v>
      </c>
      <c r="F103" s="4"/>
      <c r="G103" s="4" t="s">
        <v>121</v>
      </c>
      <c r="H103" s="4"/>
      <c r="I103" s="4"/>
      <c r="J103" s="9">
        <v>100</v>
      </c>
      <c r="K103" s="5"/>
      <c r="L103" s="9">
        <f>IF(J103=100,0.3,IF(J103&lt;60,0,(J103*0.04-2)/8))</f>
        <v>0.3</v>
      </c>
    </row>
    <row r="104" spans="1:12">
      <c r="A104" s="4" t="s">
        <v>6</v>
      </c>
      <c r="B104" s="4" t="s">
        <v>23</v>
      </c>
      <c r="C104" s="4"/>
      <c r="D104" s="4" t="s">
        <v>128</v>
      </c>
      <c r="E104" s="4" t="s">
        <v>130</v>
      </c>
      <c r="F104" s="4"/>
      <c r="G104" s="4" t="s">
        <v>121</v>
      </c>
      <c r="H104" s="4"/>
      <c r="I104" s="4"/>
      <c r="J104" s="5">
        <v>24</v>
      </c>
      <c r="K104" s="5"/>
      <c r="L104" s="9">
        <f>IF(J104&gt;=20,0.2,IF(J104&lt;10,0,((J104-10)*0.1+2.5)/20))</f>
        <v>0.2</v>
      </c>
    </row>
    <row r="105" spans="1:12">
      <c r="A105" s="4" t="s">
        <v>6</v>
      </c>
      <c r="B105" s="33" t="s">
        <v>24</v>
      </c>
      <c r="C105" s="4"/>
      <c r="D105" s="4" t="s">
        <v>126</v>
      </c>
      <c r="E105" s="9" t="s">
        <v>127</v>
      </c>
      <c r="F105" s="8"/>
      <c r="G105" s="8" t="s">
        <v>120</v>
      </c>
      <c r="H105" s="4"/>
      <c r="I105" s="4"/>
      <c r="J105" s="10">
        <v>65</v>
      </c>
      <c r="K105" s="5"/>
      <c r="L105" s="9"/>
    </row>
    <row r="106" spans="1:12">
      <c r="A106" s="4" t="s">
        <v>6</v>
      </c>
      <c r="B106" s="33" t="s">
        <v>24</v>
      </c>
      <c r="C106" s="4"/>
      <c r="D106" s="4" t="s">
        <v>126</v>
      </c>
      <c r="E106" s="9" t="s">
        <v>127</v>
      </c>
      <c r="F106" s="8"/>
      <c r="G106" s="8" t="s">
        <v>121</v>
      </c>
      <c r="H106" s="4"/>
      <c r="I106" s="4"/>
      <c r="J106" s="10">
        <v>60</v>
      </c>
      <c r="K106" s="5"/>
      <c r="L106" s="9"/>
    </row>
    <row r="107" spans="1:12">
      <c r="A107" s="4" t="s">
        <v>6</v>
      </c>
      <c r="B107" s="7" t="s">
        <v>24</v>
      </c>
      <c r="C107" s="4"/>
      <c r="D107" s="4" t="s">
        <v>128</v>
      </c>
      <c r="E107" s="4" t="s">
        <v>129</v>
      </c>
      <c r="F107" s="4"/>
      <c r="G107" s="4" t="s">
        <v>120</v>
      </c>
      <c r="H107" s="4"/>
      <c r="I107" s="4"/>
      <c r="J107" s="9">
        <v>41.0583333333333</v>
      </c>
      <c r="K107" s="5"/>
      <c r="L107" s="9">
        <f>IF(J107=100,0.3,IF(J107&lt;60,0,(J107*0.04-2)/8))</f>
        <v>0</v>
      </c>
    </row>
    <row r="108" spans="1:12">
      <c r="A108" s="4" t="s">
        <v>6</v>
      </c>
      <c r="B108" s="7" t="s">
        <v>24</v>
      </c>
      <c r="C108" s="4"/>
      <c r="D108" s="4" t="s">
        <v>128</v>
      </c>
      <c r="E108" s="4" t="s">
        <v>129</v>
      </c>
      <c r="F108" s="4"/>
      <c r="G108" s="4" t="s">
        <v>121</v>
      </c>
      <c r="H108" s="4"/>
      <c r="I108" s="4"/>
      <c r="J108" s="9">
        <v>16.7416666666667</v>
      </c>
      <c r="K108" s="5"/>
      <c r="L108" s="9">
        <f>IF(J108=100,0.3,IF(J108&lt;60,0,(J108*0.04-2)/8))</f>
        <v>0</v>
      </c>
    </row>
    <row r="109" spans="1:12">
      <c r="A109" s="4" t="s">
        <v>6</v>
      </c>
      <c r="B109" s="4" t="s">
        <v>24</v>
      </c>
      <c r="C109" s="4"/>
      <c r="D109" s="4" t="s">
        <v>128</v>
      </c>
      <c r="E109" s="4" t="s">
        <v>130</v>
      </c>
      <c r="F109" s="4"/>
      <c r="G109" s="4" t="s">
        <v>121</v>
      </c>
      <c r="H109" s="4"/>
      <c r="I109" s="4"/>
      <c r="J109" s="5">
        <v>18</v>
      </c>
      <c r="K109" s="5"/>
      <c r="L109" s="9">
        <f>IF(J109&gt;=20,0.2,IF(J109&lt;10,0,((J109-10)*0.1+2.5)/20))</f>
        <v>0.165</v>
      </c>
    </row>
    <row r="110" spans="1:12">
      <c r="A110" s="4" t="s">
        <v>6</v>
      </c>
      <c r="B110" s="33" t="s">
        <v>25</v>
      </c>
      <c r="C110" s="4"/>
      <c r="D110" s="4" t="s">
        <v>126</v>
      </c>
      <c r="E110" s="9" t="s">
        <v>127</v>
      </c>
      <c r="F110" s="8"/>
      <c r="G110" s="8" t="s">
        <v>120</v>
      </c>
      <c r="H110" s="4"/>
      <c r="I110" s="4"/>
      <c r="J110" s="10">
        <v>89</v>
      </c>
      <c r="K110" s="5"/>
      <c r="L110" s="9"/>
    </row>
    <row r="111" spans="1:12">
      <c r="A111" s="4" t="s">
        <v>6</v>
      </c>
      <c r="B111" s="33" t="s">
        <v>25</v>
      </c>
      <c r="C111" s="4"/>
      <c r="D111" s="4" t="s">
        <v>126</v>
      </c>
      <c r="E111" s="9" t="s">
        <v>127</v>
      </c>
      <c r="F111" s="8"/>
      <c r="G111" s="8" t="s">
        <v>121</v>
      </c>
      <c r="H111" s="4"/>
      <c r="I111" s="4"/>
      <c r="J111" s="10">
        <v>86</v>
      </c>
      <c r="K111" s="5"/>
      <c r="L111" s="9"/>
    </row>
    <row r="112" spans="1:12">
      <c r="A112" s="4" t="s">
        <v>6</v>
      </c>
      <c r="B112" s="7" t="s">
        <v>25</v>
      </c>
      <c r="C112" s="4"/>
      <c r="D112" s="4" t="s">
        <v>128</v>
      </c>
      <c r="E112" s="4" t="s">
        <v>129</v>
      </c>
      <c r="F112" s="4"/>
      <c r="G112" s="4" t="s">
        <v>120</v>
      </c>
      <c r="H112" s="4"/>
      <c r="I112" s="4"/>
      <c r="J112" s="9">
        <v>100</v>
      </c>
      <c r="K112" s="5"/>
      <c r="L112" s="9">
        <f>IF(J112=100,0.3,IF(J112&lt;60,0,(J112*0.04-2)/8))</f>
        <v>0.3</v>
      </c>
    </row>
    <row r="113" spans="1:12">
      <c r="A113" s="4" t="s">
        <v>6</v>
      </c>
      <c r="B113" s="7" t="s">
        <v>25</v>
      </c>
      <c r="C113" s="4"/>
      <c r="D113" s="4" t="s">
        <v>128</v>
      </c>
      <c r="E113" s="4" t="s">
        <v>129</v>
      </c>
      <c r="F113" s="4"/>
      <c r="G113" s="4" t="s">
        <v>121</v>
      </c>
      <c r="H113" s="4"/>
      <c r="I113" s="4"/>
      <c r="J113" s="9">
        <v>100</v>
      </c>
      <c r="K113" s="5"/>
      <c r="L113" s="9">
        <f>IF(J113=100,0.3,IF(J113&lt;60,0,(J113*0.04-2)/8))</f>
        <v>0.3</v>
      </c>
    </row>
    <row r="114" spans="1:12">
      <c r="A114" s="4" t="s">
        <v>6</v>
      </c>
      <c r="B114" s="4" t="s">
        <v>25</v>
      </c>
      <c r="C114" s="4"/>
      <c r="D114" s="4" t="s">
        <v>128</v>
      </c>
      <c r="E114" s="4" t="s">
        <v>130</v>
      </c>
      <c r="F114" s="4"/>
      <c r="G114" s="4" t="s">
        <v>121</v>
      </c>
      <c r="H114" s="4"/>
      <c r="I114" s="4"/>
      <c r="J114" s="5">
        <v>19</v>
      </c>
      <c r="K114" s="5"/>
      <c r="L114" s="9">
        <f>IF(J114&gt;=20,0.2,IF(J114&lt;10,0,((J114-10)*0.1+2.5)/20))</f>
        <v>0.17</v>
      </c>
    </row>
    <row r="115" spans="1:12">
      <c r="A115" s="4" t="s">
        <v>6</v>
      </c>
      <c r="B115" s="33" t="s">
        <v>26</v>
      </c>
      <c r="C115" s="4"/>
      <c r="D115" s="4" t="s">
        <v>126</v>
      </c>
      <c r="E115" s="9" t="s">
        <v>127</v>
      </c>
      <c r="F115" s="8"/>
      <c r="G115" s="8" t="s">
        <v>120</v>
      </c>
      <c r="H115" s="4"/>
      <c r="I115" s="4"/>
      <c r="J115" s="10">
        <v>86</v>
      </c>
      <c r="K115" s="5"/>
      <c r="L115" s="9"/>
    </row>
    <row r="116" spans="1:12">
      <c r="A116" s="4" t="s">
        <v>6</v>
      </c>
      <c r="B116" s="33" t="s">
        <v>26</v>
      </c>
      <c r="C116" s="4"/>
      <c r="D116" s="4" t="s">
        <v>126</v>
      </c>
      <c r="E116" s="9" t="s">
        <v>127</v>
      </c>
      <c r="F116" s="8"/>
      <c r="G116" s="8" t="s">
        <v>121</v>
      </c>
      <c r="H116" s="4"/>
      <c r="I116" s="4"/>
      <c r="J116" s="10">
        <v>84</v>
      </c>
      <c r="K116" s="5"/>
      <c r="L116" s="9"/>
    </row>
    <row r="117" spans="1:12">
      <c r="A117" s="4" t="s">
        <v>6</v>
      </c>
      <c r="B117" s="7" t="s">
        <v>26</v>
      </c>
      <c r="C117" s="4"/>
      <c r="D117" s="4" t="s">
        <v>128</v>
      </c>
      <c r="E117" s="4" t="s">
        <v>129</v>
      </c>
      <c r="F117" s="4"/>
      <c r="G117" s="4" t="s">
        <v>120</v>
      </c>
      <c r="H117" s="4"/>
      <c r="I117" s="4"/>
      <c r="J117" s="9">
        <v>100</v>
      </c>
      <c r="K117" s="5"/>
      <c r="L117" s="9">
        <f>IF(J117=100,0.3,IF(J117&lt;60,0,(J117*0.04-2)/8))</f>
        <v>0.3</v>
      </c>
    </row>
    <row r="118" spans="1:12">
      <c r="A118" s="4" t="s">
        <v>6</v>
      </c>
      <c r="B118" s="7" t="s">
        <v>26</v>
      </c>
      <c r="C118" s="4"/>
      <c r="D118" s="4" t="s">
        <v>128</v>
      </c>
      <c r="E118" s="4" t="s">
        <v>129</v>
      </c>
      <c r="F118" s="4"/>
      <c r="G118" s="4" t="s">
        <v>121</v>
      </c>
      <c r="H118" s="4"/>
      <c r="I118" s="4"/>
      <c r="J118" s="9">
        <v>100</v>
      </c>
      <c r="K118" s="5"/>
      <c r="L118" s="9">
        <f>IF(J118=100,0.3,IF(J118&lt;60,0,(J118*0.04-2)/8))</f>
        <v>0.3</v>
      </c>
    </row>
    <row r="119" spans="1:12">
      <c r="A119" s="4" t="s">
        <v>6</v>
      </c>
      <c r="B119" s="4" t="s">
        <v>26</v>
      </c>
      <c r="C119" s="4"/>
      <c r="D119" s="4" t="s">
        <v>128</v>
      </c>
      <c r="E119" s="4" t="s">
        <v>130</v>
      </c>
      <c r="F119" s="4"/>
      <c r="G119" s="4" t="s">
        <v>121</v>
      </c>
      <c r="H119" s="4"/>
      <c r="I119" s="4"/>
      <c r="J119" s="5">
        <v>21.5</v>
      </c>
      <c r="K119" s="5"/>
      <c r="L119" s="9">
        <f>IF(J119&gt;=20,0.2,IF(J119&lt;10,0,((J119-10)*0.1+2.5)/20))</f>
        <v>0.2</v>
      </c>
    </row>
    <row r="120" spans="1:12">
      <c r="A120" s="4" t="s">
        <v>6</v>
      </c>
      <c r="B120" s="33" t="s">
        <v>27</v>
      </c>
      <c r="C120" s="4"/>
      <c r="D120" s="4" t="s">
        <v>126</v>
      </c>
      <c r="E120" s="9" t="s">
        <v>127</v>
      </c>
      <c r="F120" s="8"/>
      <c r="G120" s="8" t="s">
        <v>120</v>
      </c>
      <c r="H120" s="4"/>
      <c r="I120" s="4"/>
      <c r="J120" s="10">
        <v>65</v>
      </c>
      <c r="K120" s="5"/>
      <c r="L120" s="9"/>
    </row>
    <row r="121" spans="1:12">
      <c r="A121" s="4" t="s">
        <v>6</v>
      </c>
      <c r="B121" s="33" t="s">
        <v>27</v>
      </c>
      <c r="C121" s="4"/>
      <c r="D121" s="4" t="s">
        <v>126</v>
      </c>
      <c r="E121" s="9" t="s">
        <v>127</v>
      </c>
      <c r="F121" s="8"/>
      <c r="G121" s="8" t="s">
        <v>121</v>
      </c>
      <c r="H121" s="4"/>
      <c r="I121" s="4"/>
      <c r="J121" s="10">
        <v>80</v>
      </c>
      <c r="K121" s="5"/>
      <c r="L121" s="9"/>
    </row>
    <row r="122" spans="1:12">
      <c r="A122" s="4" t="s">
        <v>6</v>
      </c>
      <c r="B122" s="7" t="s">
        <v>27</v>
      </c>
      <c r="C122" s="4"/>
      <c r="D122" s="4" t="s">
        <v>128</v>
      </c>
      <c r="E122" s="4" t="s">
        <v>129</v>
      </c>
      <c r="F122" s="4"/>
      <c r="G122" s="4" t="s">
        <v>120</v>
      </c>
      <c r="H122" s="4"/>
      <c r="I122" s="4"/>
      <c r="J122" s="9">
        <v>100</v>
      </c>
      <c r="K122" s="5"/>
      <c r="L122" s="9">
        <f>IF(J122=100,0.3,IF(J122&lt;60,0,(J122*0.04-2)/8))</f>
        <v>0.3</v>
      </c>
    </row>
    <row r="123" spans="1:12">
      <c r="A123" s="4" t="s">
        <v>6</v>
      </c>
      <c r="B123" s="7" t="s">
        <v>27</v>
      </c>
      <c r="C123" s="4"/>
      <c r="D123" s="4" t="s">
        <v>128</v>
      </c>
      <c r="E123" s="4" t="s">
        <v>129</v>
      </c>
      <c r="F123" s="4"/>
      <c r="G123" s="4" t="s">
        <v>121</v>
      </c>
      <c r="H123" s="4"/>
      <c r="I123" s="4"/>
      <c r="J123" s="9">
        <v>100</v>
      </c>
      <c r="K123" s="5"/>
      <c r="L123" s="9">
        <f>IF(J123=100,0.3,IF(J123&lt;60,0,(J123*0.04-2)/8))</f>
        <v>0.3</v>
      </c>
    </row>
    <row r="124" spans="1:12">
      <c r="A124" s="4" t="s">
        <v>6</v>
      </c>
      <c r="B124" s="4" t="s">
        <v>27</v>
      </c>
      <c r="C124" s="4"/>
      <c r="D124" s="4" t="s">
        <v>128</v>
      </c>
      <c r="E124" s="4" t="s">
        <v>130</v>
      </c>
      <c r="F124" s="4"/>
      <c r="G124" s="4" t="s">
        <v>121</v>
      </c>
      <c r="H124" s="4"/>
      <c r="I124" s="4"/>
      <c r="J124" s="5">
        <v>20</v>
      </c>
      <c r="K124" s="5"/>
      <c r="L124" s="9">
        <f>IF(J124&gt;=20,0.2,IF(J124&lt;10,0,((J124-10)*0.1+2.5)/20))</f>
        <v>0.2</v>
      </c>
    </row>
    <row r="125" spans="1:12">
      <c r="A125" s="4" t="s">
        <v>6</v>
      </c>
      <c r="B125" s="33" t="s">
        <v>28</v>
      </c>
      <c r="C125" s="4"/>
      <c r="D125" s="4" t="s">
        <v>126</v>
      </c>
      <c r="E125" s="9" t="s">
        <v>127</v>
      </c>
      <c r="F125" s="8"/>
      <c r="G125" s="8" t="s">
        <v>120</v>
      </c>
      <c r="H125" s="4"/>
      <c r="I125" s="4"/>
      <c r="J125" s="10">
        <v>85</v>
      </c>
      <c r="K125" s="5"/>
      <c r="L125" s="9"/>
    </row>
    <row r="126" spans="1:12">
      <c r="A126" s="4" t="s">
        <v>6</v>
      </c>
      <c r="B126" s="33" t="s">
        <v>28</v>
      </c>
      <c r="C126" s="4"/>
      <c r="D126" s="4" t="s">
        <v>126</v>
      </c>
      <c r="E126" s="9" t="s">
        <v>127</v>
      </c>
      <c r="F126" s="8"/>
      <c r="G126" s="8" t="s">
        <v>121</v>
      </c>
      <c r="H126" s="4"/>
      <c r="I126" s="4"/>
      <c r="J126" s="10">
        <v>64</v>
      </c>
      <c r="K126" s="5"/>
      <c r="L126" s="9"/>
    </row>
    <row r="127" spans="1:12">
      <c r="A127" s="4" t="s">
        <v>6</v>
      </c>
      <c r="B127" s="7" t="s">
        <v>28</v>
      </c>
      <c r="C127" s="4"/>
      <c r="D127" s="4" t="s">
        <v>128</v>
      </c>
      <c r="E127" s="4" t="s">
        <v>129</v>
      </c>
      <c r="F127" s="4"/>
      <c r="G127" s="4" t="s">
        <v>120</v>
      </c>
      <c r="H127" s="4"/>
      <c r="I127" s="4"/>
      <c r="J127" s="9">
        <v>14.9333333333333</v>
      </c>
      <c r="K127" s="5"/>
      <c r="L127" s="9">
        <f>IF(J127=100,0.3,IF(J127&lt;60,0,(J127*0.04-2)/8))</f>
        <v>0</v>
      </c>
    </row>
    <row r="128" spans="1:12">
      <c r="A128" s="4" t="s">
        <v>6</v>
      </c>
      <c r="B128" s="7" t="s">
        <v>28</v>
      </c>
      <c r="C128" s="4"/>
      <c r="D128" s="4" t="s">
        <v>128</v>
      </c>
      <c r="E128" s="4" t="s">
        <v>129</v>
      </c>
      <c r="F128" s="4"/>
      <c r="G128" s="4" t="s">
        <v>121</v>
      </c>
      <c r="H128" s="4"/>
      <c r="I128" s="4"/>
      <c r="J128" s="9">
        <v>11.5583333333333</v>
      </c>
      <c r="K128" s="5"/>
      <c r="L128" s="9">
        <f>IF(J128=100,0.3,IF(J128&lt;60,0,(J128*0.04-2)/8))</f>
        <v>0</v>
      </c>
    </row>
    <row r="129" spans="1:12">
      <c r="A129" s="4" t="s">
        <v>6</v>
      </c>
      <c r="B129" s="4" t="s">
        <v>28</v>
      </c>
      <c r="C129" s="4"/>
      <c r="D129" s="4" t="s">
        <v>128</v>
      </c>
      <c r="E129" s="4" t="s">
        <v>130</v>
      </c>
      <c r="F129" s="4"/>
      <c r="G129" s="4" t="s">
        <v>121</v>
      </c>
      <c r="H129" s="4"/>
      <c r="I129" s="4"/>
      <c r="J129" s="5">
        <v>16</v>
      </c>
      <c r="K129" s="5"/>
      <c r="L129" s="9">
        <f>IF(J129&gt;=20,0.2,IF(J129&lt;10,0,((J129-10)*0.1+2.5)/20))</f>
        <v>0.155</v>
      </c>
    </row>
    <row r="130" spans="1:12">
      <c r="A130" s="4" t="s">
        <v>6</v>
      </c>
      <c r="B130" s="33" t="s">
        <v>29</v>
      </c>
      <c r="C130" s="4"/>
      <c r="D130" s="4" t="s">
        <v>126</v>
      </c>
      <c r="E130" s="9" t="s">
        <v>127</v>
      </c>
      <c r="F130" s="8"/>
      <c r="G130" s="8" t="s">
        <v>120</v>
      </c>
      <c r="H130" s="4"/>
      <c r="I130" s="4"/>
      <c r="J130" s="10">
        <v>82</v>
      </c>
      <c r="K130" s="5"/>
      <c r="L130" s="9"/>
    </row>
    <row r="131" spans="1:12">
      <c r="A131" s="4" t="s">
        <v>6</v>
      </c>
      <c r="B131" s="33" t="s">
        <v>29</v>
      </c>
      <c r="C131" s="4"/>
      <c r="D131" s="4" t="s">
        <v>126</v>
      </c>
      <c r="E131" s="9" t="s">
        <v>127</v>
      </c>
      <c r="F131" s="8"/>
      <c r="G131" s="8" t="s">
        <v>121</v>
      </c>
      <c r="H131" s="4"/>
      <c r="I131" s="4"/>
      <c r="J131" s="10">
        <v>75</v>
      </c>
      <c r="K131" s="5"/>
      <c r="L131" s="9"/>
    </row>
    <row r="132" spans="1:12">
      <c r="A132" s="4" t="s">
        <v>6</v>
      </c>
      <c r="B132" s="7" t="s">
        <v>29</v>
      </c>
      <c r="C132" s="4"/>
      <c r="D132" s="4" t="s">
        <v>128</v>
      </c>
      <c r="E132" s="4" t="s">
        <v>129</v>
      </c>
      <c r="F132" s="4"/>
      <c r="G132" s="4" t="s">
        <v>120</v>
      </c>
      <c r="H132" s="4"/>
      <c r="I132" s="4"/>
      <c r="J132" s="9">
        <v>66.225</v>
      </c>
      <c r="K132" s="5"/>
      <c r="L132" s="9">
        <f>IF(J132=100,0.3,IF(J132&lt;60,0,(J132*0.04-2)/8))</f>
        <v>0.081125</v>
      </c>
    </row>
    <row r="133" spans="1:12">
      <c r="A133" s="4" t="s">
        <v>6</v>
      </c>
      <c r="B133" s="7" t="s">
        <v>29</v>
      </c>
      <c r="C133" s="4"/>
      <c r="D133" s="4" t="s">
        <v>128</v>
      </c>
      <c r="E133" s="4" t="s">
        <v>129</v>
      </c>
      <c r="F133" s="4"/>
      <c r="G133" s="4" t="s">
        <v>121</v>
      </c>
      <c r="H133" s="4"/>
      <c r="I133" s="4"/>
      <c r="J133" s="9">
        <v>70.1166666666667</v>
      </c>
      <c r="K133" s="5"/>
      <c r="L133" s="9">
        <f>IF(J133=100,0.3,IF(J133&lt;60,0,(J133*0.04-2)/8))</f>
        <v>0.100583333333333</v>
      </c>
    </row>
    <row r="134" spans="1:12">
      <c r="A134" s="4" t="s">
        <v>6</v>
      </c>
      <c r="B134" s="4" t="s">
        <v>29</v>
      </c>
      <c r="C134" s="4"/>
      <c r="D134" s="4" t="s">
        <v>128</v>
      </c>
      <c r="E134" s="4" t="s">
        <v>130</v>
      </c>
      <c r="F134" s="4"/>
      <c r="G134" s="4" t="s">
        <v>121</v>
      </c>
      <c r="H134" s="4"/>
      <c r="I134" s="4"/>
      <c r="J134" s="5">
        <v>18</v>
      </c>
      <c r="K134" s="5"/>
      <c r="L134" s="9">
        <f>IF(J134&gt;=20,0.2,IF(J134&lt;10,0,((J134-10)*0.1+2.5)/20))</f>
        <v>0.165</v>
      </c>
    </row>
    <row r="135" spans="1:12">
      <c r="A135" s="4" t="s">
        <v>6</v>
      </c>
      <c r="B135" s="33" t="s">
        <v>30</v>
      </c>
      <c r="C135" s="4"/>
      <c r="D135" s="4" t="s">
        <v>126</v>
      </c>
      <c r="E135" s="9" t="s">
        <v>127</v>
      </c>
      <c r="F135" s="8"/>
      <c r="G135" s="8" t="s">
        <v>120</v>
      </c>
      <c r="H135" s="4"/>
      <c r="I135" s="4"/>
      <c r="J135" s="10">
        <v>90</v>
      </c>
      <c r="K135" s="5"/>
      <c r="L135" s="9"/>
    </row>
    <row r="136" spans="1:12">
      <c r="A136" s="4" t="s">
        <v>6</v>
      </c>
      <c r="B136" s="33" t="s">
        <v>30</v>
      </c>
      <c r="C136" s="4"/>
      <c r="D136" s="4" t="s">
        <v>126</v>
      </c>
      <c r="E136" s="9" t="s">
        <v>127</v>
      </c>
      <c r="F136" s="8"/>
      <c r="G136" s="8" t="s">
        <v>121</v>
      </c>
      <c r="H136" s="4"/>
      <c r="I136" s="4"/>
      <c r="J136" s="10">
        <v>90</v>
      </c>
      <c r="K136" s="5"/>
      <c r="L136" s="9"/>
    </row>
    <row r="137" spans="1:12">
      <c r="A137" s="4" t="s">
        <v>6</v>
      </c>
      <c r="B137" s="7" t="s">
        <v>30</v>
      </c>
      <c r="C137" s="4"/>
      <c r="D137" s="4" t="s">
        <v>128</v>
      </c>
      <c r="E137" s="4" t="s">
        <v>129</v>
      </c>
      <c r="F137" s="4"/>
      <c r="G137" s="4" t="s">
        <v>120</v>
      </c>
      <c r="H137" s="4"/>
      <c r="I137" s="4"/>
      <c r="J137" s="9">
        <v>100</v>
      </c>
      <c r="K137" s="5"/>
      <c r="L137" s="9">
        <f>IF(J137=100,0.3,IF(J137&lt;60,0,(J137*0.04-2)/8))</f>
        <v>0.3</v>
      </c>
    </row>
    <row r="138" spans="1:12">
      <c r="A138" s="4" t="s">
        <v>6</v>
      </c>
      <c r="B138" s="7" t="s">
        <v>30</v>
      </c>
      <c r="C138" s="4"/>
      <c r="D138" s="4" t="s">
        <v>128</v>
      </c>
      <c r="E138" s="4" t="s">
        <v>129</v>
      </c>
      <c r="F138" s="4"/>
      <c r="G138" s="4" t="s">
        <v>121</v>
      </c>
      <c r="H138" s="4"/>
      <c r="I138" s="4"/>
      <c r="J138" s="9">
        <v>100</v>
      </c>
      <c r="K138" s="5"/>
      <c r="L138" s="9">
        <f>IF(J138=100,0.3,IF(J138&lt;60,0,(J138*0.04-2)/8))</f>
        <v>0.3</v>
      </c>
    </row>
    <row r="139" spans="1:12">
      <c r="A139" s="4" t="s">
        <v>6</v>
      </c>
      <c r="B139" s="4" t="s">
        <v>30</v>
      </c>
      <c r="C139" s="4"/>
      <c r="D139" s="4" t="s">
        <v>128</v>
      </c>
      <c r="E139" s="4" t="s">
        <v>130</v>
      </c>
      <c r="F139" s="4"/>
      <c r="G139" s="4" t="s">
        <v>121</v>
      </c>
      <c r="H139" s="4"/>
      <c r="I139" s="4"/>
      <c r="J139" s="5">
        <v>21</v>
      </c>
      <c r="K139" s="5"/>
      <c r="L139" s="9">
        <f>IF(J139&gt;=20,0.2,IF(J139&lt;10,0,((J139-10)*0.1+2.5)/20))</f>
        <v>0.2</v>
      </c>
    </row>
  </sheetData>
  <sortState ref="A2:L139">
    <sortCondition ref="B2:B139"/>
    <sortCondition ref="D2:D139"/>
    <sortCondition ref="E2:E139"/>
    <sortCondition ref="G2:G139"/>
  </sortState>
  <dataValidations count="3">
    <dataValidation allowBlank="1" showInputMessage="1" showErrorMessage="1" sqref="D1:E1 E2:E1048576"/>
    <dataValidation type="list" allowBlank="1" showInputMessage="1" showErrorMessage="1" sqref="D2:D1048576">
      <formula1>"体育课程成绩,校内外体育竞赛,校内外体育活动"</formula1>
    </dataValidation>
    <dataValidation type="list" allowBlank="1" showInputMessage="1" showErrorMessage="1" sqref="F2:F82 F85:F1048576 F83:G84">
      <formula1>"上学期,下学期,国家级,省级,市/校级,院级"</formula1>
    </dataValidation>
  </dataValidation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workbookViewId="0">
      <selection activeCell="L7" sqref="L7"/>
    </sheetView>
  </sheetViews>
  <sheetFormatPr defaultColWidth="9.18269230769231" defaultRowHeight="16.8"/>
  <cols>
    <col min="1" max="1" width="41.6346153846154" style="1" customWidth="1"/>
    <col min="2" max="2" width="14.0865384615385" style="1" customWidth="1"/>
    <col min="3" max="3" width="8.63461538461539" style="1" customWidth="1"/>
    <col min="4" max="4" width="22.4519230769231" style="1" customWidth="1"/>
    <col min="5" max="5" width="69.3653846153846" style="1" customWidth="1"/>
    <col min="6" max="6" width="11.5384615384615" style="1" customWidth="1"/>
    <col min="7" max="8" width="8.08653846153846" style="1" customWidth="1"/>
    <col min="9" max="9" width="6" style="1" customWidth="1"/>
    <col min="10" max="10" width="6" style="2" customWidth="1"/>
    <col min="11" max="11" width="15.0865384615385" style="1" customWidth="1"/>
    <col min="12" max="12" width="6" style="2" customWidth="1"/>
    <col min="13" max="13" width="39.3653846153846" customWidth="1"/>
  </cols>
  <sheetData>
    <row r="1" spans="1:13">
      <c r="A1" s="4" t="s">
        <v>0</v>
      </c>
      <c r="B1" s="4" t="s">
        <v>1</v>
      </c>
      <c r="C1" s="4" t="s">
        <v>2</v>
      </c>
      <c r="D1" s="4" t="s">
        <v>69</v>
      </c>
      <c r="E1" s="4" t="s">
        <v>70</v>
      </c>
      <c r="F1" s="4" t="s">
        <v>71</v>
      </c>
      <c r="G1" s="4" t="s">
        <v>72</v>
      </c>
      <c r="H1" s="4" t="s">
        <v>123</v>
      </c>
      <c r="I1" s="4" t="s">
        <v>124</v>
      </c>
      <c r="J1" s="5" t="s">
        <v>73</v>
      </c>
      <c r="K1" s="4" t="s">
        <v>125</v>
      </c>
      <c r="L1" s="5" t="s">
        <v>68</v>
      </c>
      <c r="M1" s="3"/>
    </row>
    <row r="2" spans="1:12">
      <c r="A2" s="4" t="s">
        <v>6</v>
      </c>
      <c r="B2" s="32" t="s">
        <v>31</v>
      </c>
      <c r="C2" s="4"/>
      <c r="D2" s="4" t="s">
        <v>137</v>
      </c>
      <c r="E2" s="4" t="s">
        <v>138</v>
      </c>
      <c r="F2" s="4" t="s">
        <v>134</v>
      </c>
      <c r="G2" s="4"/>
      <c r="H2" s="4" t="s">
        <v>139</v>
      </c>
      <c r="I2" s="4"/>
      <c r="J2" s="5">
        <v>1</v>
      </c>
      <c r="K2" s="4"/>
      <c r="L2" s="5">
        <v>1</v>
      </c>
    </row>
    <row r="3" spans="1:12">
      <c r="A3" s="4" t="s">
        <v>6</v>
      </c>
      <c r="B3" s="32" t="s">
        <v>31</v>
      </c>
      <c r="C3" s="4"/>
      <c r="D3" s="4" t="s">
        <v>137</v>
      </c>
      <c r="E3" s="4" t="s">
        <v>140</v>
      </c>
      <c r="F3" s="4" t="s">
        <v>134</v>
      </c>
      <c r="G3" s="4"/>
      <c r="H3" s="4" t="s">
        <v>141</v>
      </c>
      <c r="I3" s="4">
        <v>3</v>
      </c>
      <c r="J3" s="5">
        <v>2</v>
      </c>
      <c r="K3" s="4">
        <v>0.5</v>
      </c>
      <c r="L3" s="5">
        <v>1</v>
      </c>
    </row>
    <row r="4" spans="1:12">
      <c r="A4" s="4" t="s">
        <v>6</v>
      </c>
      <c r="B4" s="33" t="s">
        <v>8</v>
      </c>
      <c r="C4" s="4"/>
      <c r="D4" s="4" t="s">
        <v>137</v>
      </c>
      <c r="E4" s="4" t="s">
        <v>140</v>
      </c>
      <c r="F4" s="4"/>
      <c r="G4" s="4"/>
      <c r="H4" s="4"/>
      <c r="I4" s="4"/>
      <c r="J4" s="5">
        <v>1.5</v>
      </c>
      <c r="K4" s="4">
        <v>0.5</v>
      </c>
      <c r="L4" s="5">
        <v>0.75</v>
      </c>
    </row>
    <row r="5" spans="1:12">
      <c r="A5" s="4" t="s">
        <v>6</v>
      </c>
      <c r="B5" s="33" t="s">
        <v>8</v>
      </c>
      <c r="C5" s="4"/>
      <c r="D5" s="4" t="s">
        <v>137</v>
      </c>
      <c r="E5" s="4" t="s">
        <v>140</v>
      </c>
      <c r="F5" s="4"/>
      <c r="G5" s="4"/>
      <c r="H5" s="4"/>
      <c r="I5" s="4"/>
      <c r="J5" s="5">
        <v>1</v>
      </c>
      <c r="K5" s="4">
        <v>0.5</v>
      </c>
      <c r="L5" s="5">
        <v>0.5</v>
      </c>
    </row>
    <row r="6" spans="1:12">
      <c r="A6" s="4" t="s">
        <v>6</v>
      </c>
      <c r="B6" s="4" t="s">
        <v>11</v>
      </c>
      <c r="C6" s="4"/>
      <c r="D6" s="4" t="s">
        <v>137</v>
      </c>
      <c r="E6" s="4" t="s">
        <v>142</v>
      </c>
      <c r="F6" s="4" t="s">
        <v>78</v>
      </c>
      <c r="G6" s="4"/>
      <c r="H6" s="4" t="s">
        <v>143</v>
      </c>
      <c r="I6" s="5"/>
      <c r="J6" s="5">
        <v>0.05</v>
      </c>
      <c r="K6" s="4"/>
      <c r="L6" s="5">
        <v>0.05</v>
      </c>
    </row>
    <row r="7" spans="1:12">
      <c r="A7" s="4" t="s">
        <v>6</v>
      </c>
      <c r="B7" s="32" t="s">
        <v>12</v>
      </c>
      <c r="C7" s="4"/>
      <c r="D7" s="4" t="s">
        <v>137</v>
      </c>
      <c r="E7" s="4" t="s">
        <v>144</v>
      </c>
      <c r="F7" s="4" t="s">
        <v>78</v>
      </c>
      <c r="G7" s="4"/>
      <c r="H7" s="4" t="s">
        <v>145</v>
      </c>
      <c r="I7" s="4"/>
      <c r="J7" s="5">
        <v>0.05</v>
      </c>
      <c r="K7" s="4"/>
      <c r="L7" s="5">
        <v>0.05</v>
      </c>
    </row>
    <row r="8" spans="1:12">
      <c r="A8" s="4" t="s">
        <v>6</v>
      </c>
      <c r="B8" s="4" t="s">
        <v>12</v>
      </c>
      <c r="C8" s="4"/>
      <c r="D8" s="4" t="s">
        <v>137</v>
      </c>
      <c r="E8" s="4" t="s">
        <v>142</v>
      </c>
      <c r="F8" s="4" t="s">
        <v>78</v>
      </c>
      <c r="G8" s="4"/>
      <c r="H8" s="4" t="s">
        <v>143</v>
      </c>
      <c r="I8" s="5"/>
      <c r="J8" s="5">
        <v>0.05</v>
      </c>
      <c r="K8" s="4"/>
      <c r="L8" s="5">
        <v>0.05</v>
      </c>
    </row>
    <row r="9" spans="1:12">
      <c r="A9" s="4" t="s">
        <v>6</v>
      </c>
      <c r="B9" s="32" t="s">
        <v>12</v>
      </c>
      <c r="C9" s="4"/>
      <c r="D9" s="4" t="s">
        <v>137</v>
      </c>
      <c r="E9" s="4" t="s">
        <v>146</v>
      </c>
      <c r="F9" s="4"/>
      <c r="G9" s="4"/>
      <c r="H9" s="4"/>
      <c r="I9" s="4"/>
      <c r="J9" s="5">
        <v>0.25</v>
      </c>
      <c r="K9" s="4"/>
      <c r="L9" s="5">
        <v>0.25</v>
      </c>
    </row>
    <row r="10" spans="1:12">
      <c r="A10" s="4" t="s">
        <v>6</v>
      </c>
      <c r="B10" s="33" t="s">
        <v>19</v>
      </c>
      <c r="C10" s="4"/>
      <c r="D10" s="4" t="s">
        <v>147</v>
      </c>
      <c r="E10" s="4" t="s">
        <v>148</v>
      </c>
      <c r="F10" s="4"/>
      <c r="G10" s="4"/>
      <c r="H10" s="4"/>
      <c r="I10" s="4"/>
      <c r="J10" s="5">
        <v>0.25</v>
      </c>
      <c r="K10" s="4"/>
      <c r="L10" s="5">
        <v>0.25</v>
      </c>
    </row>
    <row r="11" spans="1:12">
      <c r="A11" s="4" t="s">
        <v>6</v>
      </c>
      <c r="B11" s="32" t="s">
        <v>19</v>
      </c>
      <c r="C11" s="4"/>
      <c r="D11" s="4" t="s">
        <v>137</v>
      </c>
      <c r="E11" s="4" t="s">
        <v>149</v>
      </c>
      <c r="F11" s="4"/>
      <c r="G11" s="4"/>
      <c r="H11" s="4"/>
      <c r="I11" s="4"/>
      <c r="J11" s="5">
        <v>0.5</v>
      </c>
      <c r="K11" s="4"/>
      <c r="L11" s="5">
        <v>0.5</v>
      </c>
    </row>
    <row r="12" spans="1:12">
      <c r="A12" s="4" t="s">
        <v>6</v>
      </c>
      <c r="B12" s="32" t="s">
        <v>19</v>
      </c>
      <c r="C12" s="4"/>
      <c r="D12" s="4" t="s">
        <v>137</v>
      </c>
      <c r="E12" s="4" t="s">
        <v>150</v>
      </c>
      <c r="F12" s="4"/>
      <c r="G12" s="4"/>
      <c r="H12" s="4"/>
      <c r="I12" s="4"/>
      <c r="J12" s="5">
        <v>0.25</v>
      </c>
      <c r="K12" s="4"/>
      <c r="L12" s="5">
        <v>0.25</v>
      </c>
    </row>
    <row r="13" spans="1:12">
      <c r="A13" s="4" t="s">
        <v>6</v>
      </c>
      <c r="B13" s="4" t="s">
        <v>19</v>
      </c>
      <c r="C13" s="4"/>
      <c r="D13" s="4" t="s">
        <v>137</v>
      </c>
      <c r="E13" s="4" t="s">
        <v>142</v>
      </c>
      <c r="F13" s="4" t="s">
        <v>78</v>
      </c>
      <c r="G13" s="4"/>
      <c r="H13" s="4" t="s">
        <v>143</v>
      </c>
      <c r="I13" s="5"/>
      <c r="J13" s="5">
        <v>0.05</v>
      </c>
      <c r="K13" s="4"/>
      <c r="L13" s="5">
        <v>0.05</v>
      </c>
    </row>
    <row r="14" spans="1:12">
      <c r="A14" s="4" t="s">
        <v>6</v>
      </c>
      <c r="B14" s="32" t="s">
        <v>20</v>
      </c>
      <c r="C14" s="4"/>
      <c r="D14" s="4" t="s">
        <v>137</v>
      </c>
      <c r="E14" s="4" t="s">
        <v>151</v>
      </c>
      <c r="F14" s="4"/>
      <c r="G14" s="4"/>
      <c r="H14" s="4"/>
      <c r="I14" s="4"/>
      <c r="J14" s="5">
        <v>1</v>
      </c>
      <c r="K14" s="4"/>
      <c r="L14" s="5">
        <v>1</v>
      </c>
    </row>
    <row r="15" spans="1:12">
      <c r="A15" s="4" t="s">
        <v>6</v>
      </c>
      <c r="B15" s="32" t="s">
        <v>20</v>
      </c>
      <c r="C15" s="4"/>
      <c r="D15" s="4" t="s">
        <v>137</v>
      </c>
      <c r="E15" s="4" t="s">
        <v>151</v>
      </c>
      <c r="F15" s="4"/>
      <c r="G15" s="4"/>
      <c r="H15" s="4"/>
      <c r="I15" s="4"/>
      <c r="J15" s="5">
        <v>1</v>
      </c>
      <c r="K15" s="4"/>
      <c r="L15" s="5">
        <v>1</v>
      </c>
    </row>
    <row r="16" spans="1:12">
      <c r="A16" s="4" t="s">
        <v>6</v>
      </c>
      <c r="B16" s="4" t="s">
        <v>22</v>
      </c>
      <c r="C16" s="4"/>
      <c r="D16" s="4" t="s">
        <v>137</v>
      </c>
      <c r="E16" s="4" t="s">
        <v>142</v>
      </c>
      <c r="F16" s="4" t="s">
        <v>78</v>
      </c>
      <c r="G16" s="4"/>
      <c r="H16" s="4" t="s">
        <v>143</v>
      </c>
      <c r="I16" s="5"/>
      <c r="J16" s="5">
        <v>0.08</v>
      </c>
      <c r="K16" s="4"/>
      <c r="L16" s="5">
        <v>0.08</v>
      </c>
    </row>
    <row r="17" spans="1:12">
      <c r="A17" s="4" t="s">
        <v>6</v>
      </c>
      <c r="B17" s="33" t="s">
        <v>25</v>
      </c>
      <c r="C17" s="4"/>
      <c r="D17" s="4" t="s">
        <v>137</v>
      </c>
      <c r="E17" s="4" t="s">
        <v>142</v>
      </c>
      <c r="F17" s="4" t="s">
        <v>78</v>
      </c>
      <c r="G17" s="4"/>
      <c r="H17" s="4" t="s">
        <v>145</v>
      </c>
      <c r="I17" s="5"/>
      <c r="J17" s="5">
        <v>0.25</v>
      </c>
      <c r="K17" s="4"/>
      <c r="L17" s="5">
        <v>0.25</v>
      </c>
    </row>
    <row r="18" spans="1:12">
      <c r="A18" s="4" t="s">
        <v>6</v>
      </c>
      <c r="B18" s="32" t="s">
        <v>25</v>
      </c>
      <c r="C18" s="4"/>
      <c r="D18" s="4" t="s">
        <v>137</v>
      </c>
      <c r="E18" s="4" t="s">
        <v>140</v>
      </c>
      <c r="F18" s="4"/>
      <c r="G18" s="4"/>
      <c r="H18" s="4"/>
      <c r="I18" s="4"/>
      <c r="J18" s="5">
        <v>1</v>
      </c>
      <c r="K18" s="4">
        <v>0.5</v>
      </c>
      <c r="L18" s="5">
        <v>0.5</v>
      </c>
    </row>
    <row r="19" spans="1:12">
      <c r="A19" s="4" t="s">
        <v>6</v>
      </c>
      <c r="B19" s="32" t="s">
        <v>25</v>
      </c>
      <c r="C19" s="4"/>
      <c r="D19" s="4" t="s">
        <v>137</v>
      </c>
      <c r="E19" s="4" t="s">
        <v>140</v>
      </c>
      <c r="F19" s="4"/>
      <c r="G19" s="4"/>
      <c r="H19" s="4"/>
      <c r="I19" s="4"/>
      <c r="J19" s="5">
        <v>2</v>
      </c>
      <c r="K19" s="4">
        <v>0.5</v>
      </c>
      <c r="L19" s="5">
        <v>1</v>
      </c>
    </row>
  </sheetData>
  <sortState ref="A2:L19">
    <sortCondition ref="B2:B19"/>
    <sortCondition ref="D2:D19"/>
    <sortCondition ref="E2:E19"/>
    <sortCondition ref="G2:G19"/>
  </sortState>
  <dataValidations count="3">
    <dataValidation allowBlank="1" showInputMessage="1" showErrorMessage="1" sqref="D1"/>
    <dataValidation type="list" allowBlank="1" showInputMessage="1" showErrorMessage="1" sqref="D2:D1048576">
      <formula1>"文化艺术实践,校内外文化艺术竞赛"</formula1>
    </dataValidation>
    <dataValidation type="list" allowBlank="1" showInputMessage="1" showErrorMessage="1" sqref="F2:F14 F20:F1048576">
      <formula1>"上学期,下学期,国家级,市/校级,院级,省级"</formula1>
    </dataValidation>
  </dataValidation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2"/>
  <sheetViews>
    <sheetView workbookViewId="0">
      <selection activeCell="F1" sqref="F1"/>
    </sheetView>
  </sheetViews>
  <sheetFormatPr defaultColWidth="9.18269230769231" defaultRowHeight="16.8"/>
  <cols>
    <col min="1" max="1" width="42.0865384615385" style="1" customWidth="1"/>
    <col min="2" max="2" width="14.0865384615385" style="1" customWidth="1"/>
    <col min="3" max="3" width="12" style="1" customWidth="1"/>
    <col min="4" max="4" width="22.4519230769231" style="1" customWidth="1"/>
    <col min="5" max="5" width="64.8173076923077" style="1" customWidth="1"/>
    <col min="6" max="6" width="11.5384615384615" style="1" customWidth="1"/>
    <col min="7" max="7" width="7.53846153846154" style="1" customWidth="1"/>
    <col min="8" max="8" width="6" style="1" customWidth="1"/>
    <col min="9" max="9" width="7.08653846153846" style="2" customWidth="1"/>
    <col min="10" max="10" width="15.0865384615385" style="1" customWidth="1"/>
    <col min="11" max="11" width="7.08653846153846" style="2" customWidth="1"/>
  </cols>
  <sheetData>
    <row r="1" spans="1:11">
      <c r="A1" s="4" t="s">
        <v>0</v>
      </c>
      <c r="B1" s="4" t="s">
        <v>1</v>
      </c>
      <c r="C1" s="4" t="s">
        <v>2</v>
      </c>
      <c r="D1" s="4" t="s">
        <v>69</v>
      </c>
      <c r="E1" s="4" t="s">
        <v>70</v>
      </c>
      <c r="F1" s="4" t="s">
        <v>71</v>
      </c>
      <c r="G1" s="4" t="s">
        <v>123</v>
      </c>
      <c r="H1" s="4" t="s">
        <v>124</v>
      </c>
      <c r="I1" s="5" t="s">
        <v>73</v>
      </c>
      <c r="J1" s="4" t="s">
        <v>125</v>
      </c>
      <c r="K1" s="5" t="s">
        <v>68</v>
      </c>
    </row>
    <row r="2" spans="1:11">
      <c r="A2" s="4" t="s">
        <v>6</v>
      </c>
      <c r="B2" s="33" t="s">
        <v>31</v>
      </c>
      <c r="C2" s="4"/>
      <c r="D2" s="4" t="s">
        <v>152</v>
      </c>
      <c r="E2" s="4"/>
      <c r="F2" s="4"/>
      <c r="G2" s="4"/>
      <c r="H2" s="4"/>
      <c r="I2" s="5">
        <v>1.51686666666667</v>
      </c>
      <c r="J2" s="4"/>
      <c r="K2" s="5">
        <v>1.51686666666667</v>
      </c>
    </row>
    <row r="3" spans="1:11">
      <c r="A3" s="4" t="s">
        <v>6</v>
      </c>
      <c r="B3" s="33" t="s">
        <v>31</v>
      </c>
      <c r="C3" s="4"/>
      <c r="D3" s="4" t="s">
        <v>153</v>
      </c>
      <c r="E3" s="4"/>
      <c r="F3" s="4" t="s">
        <v>154</v>
      </c>
      <c r="G3" s="4"/>
      <c r="H3" s="4"/>
      <c r="I3" s="5">
        <v>3</v>
      </c>
      <c r="J3" s="4"/>
      <c r="K3" s="5">
        <v>3</v>
      </c>
    </row>
    <row r="4" spans="1:11">
      <c r="A4" s="4" t="s">
        <v>6</v>
      </c>
      <c r="B4" s="33" t="s">
        <v>33</v>
      </c>
      <c r="C4" s="4"/>
      <c r="D4" s="4" t="s">
        <v>152</v>
      </c>
      <c r="E4" s="4"/>
      <c r="F4" s="4"/>
      <c r="G4" s="4"/>
      <c r="H4" s="4"/>
      <c r="I4" s="5">
        <v>1.51686666666667</v>
      </c>
      <c r="J4" s="4"/>
      <c r="K4" s="5">
        <v>1.51686666666667</v>
      </c>
    </row>
    <row r="5" spans="1:11">
      <c r="A5" s="4" t="s">
        <v>6</v>
      </c>
      <c r="B5" s="33" t="s">
        <v>33</v>
      </c>
      <c r="C5" s="4"/>
      <c r="D5" s="4" t="s">
        <v>153</v>
      </c>
      <c r="E5" s="4"/>
      <c r="F5" s="4" t="s">
        <v>154</v>
      </c>
      <c r="G5" s="4"/>
      <c r="H5" s="4"/>
      <c r="I5" s="5">
        <v>3</v>
      </c>
      <c r="J5" s="4"/>
      <c r="K5" s="5">
        <v>3</v>
      </c>
    </row>
    <row r="6" spans="1:11">
      <c r="A6" s="4" t="s">
        <v>6</v>
      </c>
      <c r="B6" s="33" t="s">
        <v>32</v>
      </c>
      <c r="C6" s="4"/>
      <c r="D6" s="4" t="s">
        <v>152</v>
      </c>
      <c r="E6" s="4"/>
      <c r="F6" s="4"/>
      <c r="G6" s="4"/>
      <c r="H6" s="4"/>
      <c r="I6" s="5">
        <v>1.51686666666667</v>
      </c>
      <c r="J6" s="4"/>
      <c r="K6" s="5">
        <v>1.51686666666667</v>
      </c>
    </row>
    <row r="7" spans="1:11">
      <c r="A7" s="4" t="s">
        <v>6</v>
      </c>
      <c r="B7" s="33" t="s">
        <v>32</v>
      </c>
      <c r="C7" s="4"/>
      <c r="D7" s="4" t="s">
        <v>153</v>
      </c>
      <c r="E7" s="4" t="s">
        <v>155</v>
      </c>
      <c r="F7" s="4" t="s">
        <v>67</v>
      </c>
      <c r="G7" s="4"/>
      <c r="H7" s="4"/>
      <c r="I7" s="5">
        <v>0.15</v>
      </c>
      <c r="J7" s="4"/>
      <c r="K7" s="5">
        <v>0.15</v>
      </c>
    </row>
    <row r="8" spans="1:11">
      <c r="A8" s="4" t="s">
        <v>6</v>
      </c>
      <c r="B8" s="33" t="s">
        <v>32</v>
      </c>
      <c r="C8" s="4"/>
      <c r="D8" s="4" t="s">
        <v>153</v>
      </c>
      <c r="E8" s="4"/>
      <c r="F8" s="4" t="s">
        <v>154</v>
      </c>
      <c r="G8" s="4"/>
      <c r="H8" s="4"/>
      <c r="I8" s="5">
        <v>0.325</v>
      </c>
      <c r="J8" s="4"/>
      <c r="K8" s="5">
        <v>0.325</v>
      </c>
    </row>
    <row r="9" spans="1:11">
      <c r="A9" s="4" t="s">
        <v>6</v>
      </c>
      <c r="B9" s="33" t="s">
        <v>7</v>
      </c>
      <c r="C9" s="4"/>
      <c r="D9" s="4" t="s">
        <v>152</v>
      </c>
      <c r="E9" s="4"/>
      <c r="F9" s="4"/>
      <c r="G9" s="4"/>
      <c r="H9" s="4"/>
      <c r="I9" s="5">
        <v>1.5532</v>
      </c>
      <c r="J9" s="4"/>
      <c r="K9" s="5">
        <v>1.5532</v>
      </c>
    </row>
    <row r="10" spans="1:11">
      <c r="A10" s="4" t="s">
        <v>6</v>
      </c>
      <c r="B10" s="33" t="s">
        <v>7</v>
      </c>
      <c r="C10" s="4"/>
      <c r="D10" s="4" t="s">
        <v>153</v>
      </c>
      <c r="E10" s="4"/>
      <c r="F10" s="4" t="s">
        <v>154</v>
      </c>
      <c r="G10" s="4"/>
      <c r="H10" s="4"/>
      <c r="I10" s="5">
        <v>0.85</v>
      </c>
      <c r="J10" s="4"/>
      <c r="K10" s="5">
        <v>0.85</v>
      </c>
    </row>
    <row r="11" spans="1:11">
      <c r="A11" s="4" t="s">
        <v>6</v>
      </c>
      <c r="B11" s="33" t="s">
        <v>8</v>
      </c>
      <c r="C11" s="4"/>
      <c r="D11" s="4" t="s">
        <v>152</v>
      </c>
      <c r="E11" s="4"/>
      <c r="F11" s="4"/>
      <c r="G11" s="4"/>
      <c r="H11" s="4"/>
      <c r="I11" s="5">
        <v>1.51686666666667</v>
      </c>
      <c r="J11" s="4"/>
      <c r="K11" s="5">
        <v>1.51686666666667</v>
      </c>
    </row>
    <row r="12" spans="1:11">
      <c r="A12" s="4" t="s">
        <v>6</v>
      </c>
      <c r="B12" s="33" t="s">
        <v>8</v>
      </c>
      <c r="C12" s="4"/>
      <c r="D12" s="4" t="s">
        <v>153</v>
      </c>
      <c r="E12" s="4"/>
      <c r="F12" s="4" t="s">
        <v>154</v>
      </c>
      <c r="G12" s="4"/>
      <c r="H12" s="4"/>
      <c r="I12" s="5">
        <v>3</v>
      </c>
      <c r="J12" s="4"/>
      <c r="K12" s="5">
        <v>3</v>
      </c>
    </row>
    <row r="13" spans="1:11">
      <c r="A13" s="4" t="s">
        <v>6</v>
      </c>
      <c r="B13" s="33" t="s">
        <v>9</v>
      </c>
      <c r="C13" s="4"/>
      <c r="D13" s="4" t="s">
        <v>152</v>
      </c>
      <c r="E13" s="4"/>
      <c r="F13" s="4"/>
      <c r="G13" s="4"/>
      <c r="H13" s="4"/>
      <c r="I13" s="5">
        <v>1.58527777777778</v>
      </c>
      <c r="J13" s="4"/>
      <c r="K13" s="5">
        <v>1.58527777777778</v>
      </c>
    </row>
    <row r="14" spans="1:11">
      <c r="A14" s="4" t="s">
        <v>6</v>
      </c>
      <c r="B14" s="33" t="s">
        <v>10</v>
      </c>
      <c r="C14" s="4"/>
      <c r="D14" s="4" t="s">
        <v>152</v>
      </c>
      <c r="E14" s="4"/>
      <c r="F14" s="4"/>
      <c r="G14" s="4"/>
      <c r="H14" s="4"/>
      <c r="I14" s="5">
        <v>1.58527777777778</v>
      </c>
      <c r="J14" s="4"/>
      <c r="K14" s="5">
        <v>1.58527777777778</v>
      </c>
    </row>
    <row r="15" spans="1:11">
      <c r="A15" s="4" t="s">
        <v>6</v>
      </c>
      <c r="B15" s="33" t="s">
        <v>11</v>
      </c>
      <c r="C15" s="4"/>
      <c r="D15" s="4" t="s">
        <v>156</v>
      </c>
      <c r="E15" s="4" t="s">
        <v>157</v>
      </c>
      <c r="F15" s="4" t="s">
        <v>78</v>
      </c>
      <c r="G15" s="4"/>
      <c r="H15" s="4"/>
      <c r="I15" s="5">
        <v>0.25</v>
      </c>
      <c r="J15" s="4"/>
      <c r="K15" s="5">
        <v>0.25</v>
      </c>
    </row>
    <row r="16" spans="1:11">
      <c r="A16" s="4" t="s">
        <v>6</v>
      </c>
      <c r="B16" s="33" t="s">
        <v>11</v>
      </c>
      <c r="C16" s="4"/>
      <c r="D16" s="4" t="s">
        <v>156</v>
      </c>
      <c r="E16" s="4" t="s">
        <v>158</v>
      </c>
      <c r="F16" s="4" t="s">
        <v>78</v>
      </c>
      <c r="G16" s="4"/>
      <c r="H16" s="4"/>
      <c r="I16" s="5">
        <v>0.25</v>
      </c>
      <c r="J16" s="4"/>
      <c r="K16" s="5">
        <v>0.25</v>
      </c>
    </row>
    <row r="17" spans="1:11">
      <c r="A17" s="4" t="s">
        <v>6</v>
      </c>
      <c r="B17" s="33" t="s">
        <v>11</v>
      </c>
      <c r="C17" s="4"/>
      <c r="D17" s="4" t="s">
        <v>156</v>
      </c>
      <c r="E17" s="4" t="s">
        <v>159</v>
      </c>
      <c r="F17" s="4"/>
      <c r="G17" s="4"/>
      <c r="H17" s="4"/>
      <c r="I17" s="5">
        <v>0.5</v>
      </c>
      <c r="J17" s="4"/>
      <c r="K17" s="5">
        <v>0.5</v>
      </c>
    </row>
    <row r="18" spans="1:11">
      <c r="A18" s="4" t="s">
        <v>6</v>
      </c>
      <c r="B18" s="33" t="s">
        <v>11</v>
      </c>
      <c r="C18" s="4"/>
      <c r="D18" s="4" t="s">
        <v>152</v>
      </c>
      <c r="E18" s="4"/>
      <c r="F18" s="4"/>
      <c r="G18" s="4"/>
      <c r="H18" s="4"/>
      <c r="I18" s="5">
        <v>1.57173333333333</v>
      </c>
      <c r="J18" s="4"/>
      <c r="K18" s="5">
        <v>1.57173333333333</v>
      </c>
    </row>
    <row r="19" spans="1:11">
      <c r="A19" s="4" t="s">
        <v>6</v>
      </c>
      <c r="B19" s="33" t="s">
        <v>11</v>
      </c>
      <c r="C19" s="4"/>
      <c r="D19" s="4" t="s">
        <v>153</v>
      </c>
      <c r="E19" s="4"/>
      <c r="F19" s="4" t="s">
        <v>154</v>
      </c>
      <c r="G19" s="4"/>
      <c r="H19" s="4"/>
      <c r="I19" s="5">
        <v>3</v>
      </c>
      <c r="J19" s="4"/>
      <c r="K19" s="5">
        <v>3</v>
      </c>
    </row>
    <row r="20" spans="1:11">
      <c r="A20" s="4" t="s">
        <v>6</v>
      </c>
      <c r="B20" s="33" t="s">
        <v>12</v>
      </c>
      <c r="C20" s="4"/>
      <c r="D20" s="4" t="s">
        <v>156</v>
      </c>
      <c r="E20" s="4" t="s">
        <v>159</v>
      </c>
      <c r="F20" s="4"/>
      <c r="G20" s="4"/>
      <c r="H20" s="4"/>
      <c r="I20" s="5">
        <v>0.5</v>
      </c>
      <c r="J20" s="4"/>
      <c r="K20" s="5">
        <v>0.5</v>
      </c>
    </row>
    <row r="21" spans="1:11">
      <c r="A21" s="4" t="s">
        <v>6</v>
      </c>
      <c r="B21" s="33" t="s">
        <v>12</v>
      </c>
      <c r="C21" s="4"/>
      <c r="D21" s="4" t="s">
        <v>152</v>
      </c>
      <c r="E21" s="4"/>
      <c r="F21" s="4"/>
      <c r="G21" s="4"/>
      <c r="H21" s="4"/>
      <c r="I21" s="5">
        <v>1.56173333333333</v>
      </c>
      <c r="J21" s="4"/>
      <c r="K21" s="5">
        <v>1.56173333333333</v>
      </c>
    </row>
    <row r="22" spans="1:11">
      <c r="A22" s="4" t="s">
        <v>6</v>
      </c>
      <c r="B22" s="33" t="s">
        <v>12</v>
      </c>
      <c r="C22" s="4"/>
      <c r="D22" s="4" t="s">
        <v>153</v>
      </c>
      <c r="E22" s="4"/>
      <c r="F22" s="4" t="s">
        <v>154</v>
      </c>
      <c r="G22" s="4"/>
      <c r="H22" s="4"/>
      <c r="I22" s="5">
        <v>3</v>
      </c>
      <c r="J22" s="4"/>
      <c r="K22" s="5">
        <v>3</v>
      </c>
    </row>
    <row r="23" spans="1:11">
      <c r="A23" s="4" t="s">
        <v>6</v>
      </c>
      <c r="B23" s="33" t="s">
        <v>13</v>
      </c>
      <c r="C23" s="4"/>
      <c r="D23" s="4" t="s">
        <v>152</v>
      </c>
      <c r="E23" s="4"/>
      <c r="F23" s="4"/>
      <c r="G23" s="4"/>
      <c r="H23" s="4"/>
      <c r="I23" s="5">
        <v>1.546</v>
      </c>
      <c r="J23" s="4"/>
      <c r="K23" s="5">
        <v>1.546</v>
      </c>
    </row>
    <row r="24" spans="1:11">
      <c r="A24" s="4" t="s">
        <v>6</v>
      </c>
      <c r="B24" s="33" t="s">
        <v>13</v>
      </c>
      <c r="C24" s="4"/>
      <c r="D24" s="4" t="s">
        <v>153</v>
      </c>
      <c r="E24" s="4" t="s">
        <v>160</v>
      </c>
      <c r="F24" s="4" t="s">
        <v>67</v>
      </c>
      <c r="G24" s="4"/>
      <c r="H24" s="4"/>
      <c r="I24" s="5">
        <v>0.25</v>
      </c>
      <c r="J24" s="4"/>
      <c r="K24" s="5">
        <v>0.25</v>
      </c>
    </row>
    <row r="25" spans="1:11">
      <c r="A25" s="4" t="s">
        <v>6</v>
      </c>
      <c r="B25" s="33" t="s">
        <v>13</v>
      </c>
      <c r="C25" s="4"/>
      <c r="D25" s="4" t="s">
        <v>153</v>
      </c>
      <c r="E25" s="4"/>
      <c r="F25" s="4" t="s">
        <v>154</v>
      </c>
      <c r="G25" s="4"/>
      <c r="H25" s="4"/>
      <c r="I25" s="5">
        <v>3</v>
      </c>
      <c r="J25" s="4"/>
      <c r="K25" s="5">
        <v>3</v>
      </c>
    </row>
    <row r="26" spans="1:11">
      <c r="A26" s="4" t="s">
        <v>6</v>
      </c>
      <c r="B26" s="33" t="s">
        <v>14</v>
      </c>
      <c r="C26" s="4"/>
      <c r="D26" s="4" t="s">
        <v>152</v>
      </c>
      <c r="E26" s="4"/>
      <c r="F26" s="4"/>
      <c r="G26" s="4"/>
      <c r="H26" s="4"/>
      <c r="I26" s="5">
        <v>1.54966666666667</v>
      </c>
      <c r="J26" s="4"/>
      <c r="K26" s="5">
        <v>1.54966666666667</v>
      </c>
    </row>
    <row r="27" spans="1:11">
      <c r="A27" s="4" t="s">
        <v>6</v>
      </c>
      <c r="B27" s="33" t="s">
        <v>15</v>
      </c>
      <c r="C27" s="4"/>
      <c r="D27" s="4" t="s">
        <v>152</v>
      </c>
      <c r="E27" s="4"/>
      <c r="F27" s="4"/>
      <c r="G27" s="4"/>
      <c r="H27" s="4"/>
      <c r="I27" s="5">
        <v>1.546</v>
      </c>
      <c r="J27" s="4"/>
      <c r="K27" s="5">
        <v>1.546</v>
      </c>
    </row>
    <row r="28" spans="1:11">
      <c r="A28" s="4" t="s">
        <v>6</v>
      </c>
      <c r="B28" s="33" t="s">
        <v>15</v>
      </c>
      <c r="C28" s="4"/>
      <c r="D28" s="4" t="s">
        <v>153</v>
      </c>
      <c r="E28" s="4"/>
      <c r="F28" s="4" t="s">
        <v>154</v>
      </c>
      <c r="G28" s="4"/>
      <c r="H28" s="4"/>
      <c r="I28" s="5">
        <v>3</v>
      </c>
      <c r="J28" s="4"/>
      <c r="K28" s="5">
        <v>3</v>
      </c>
    </row>
    <row r="29" spans="1:11">
      <c r="A29" s="4" t="s">
        <v>6</v>
      </c>
      <c r="B29" s="33" t="s">
        <v>16</v>
      </c>
      <c r="C29" s="4"/>
      <c r="D29" s="4" t="s">
        <v>152</v>
      </c>
      <c r="E29" s="4"/>
      <c r="F29" s="4"/>
      <c r="G29" s="4"/>
      <c r="H29" s="4"/>
      <c r="I29" s="5">
        <v>1.54966666666667</v>
      </c>
      <c r="J29" s="4"/>
      <c r="K29" s="5">
        <v>1.54966666666667</v>
      </c>
    </row>
    <row r="30" spans="1:11">
      <c r="A30" s="4" t="s">
        <v>6</v>
      </c>
      <c r="B30" s="33" t="s">
        <v>17</v>
      </c>
      <c r="C30" s="4"/>
      <c r="D30" s="4" t="s">
        <v>152</v>
      </c>
      <c r="E30" s="4"/>
      <c r="F30" s="4"/>
      <c r="G30" s="4"/>
      <c r="H30" s="4"/>
      <c r="I30" s="5">
        <v>1.546</v>
      </c>
      <c r="J30" s="4"/>
      <c r="K30" s="5">
        <v>1.546</v>
      </c>
    </row>
    <row r="31" spans="1:11">
      <c r="A31" s="4" t="s">
        <v>6</v>
      </c>
      <c r="B31" s="33" t="s">
        <v>18</v>
      </c>
      <c r="C31" s="4"/>
      <c r="D31" s="4" t="s">
        <v>152</v>
      </c>
      <c r="E31" s="4"/>
      <c r="F31" s="4"/>
      <c r="G31" s="4"/>
      <c r="H31" s="4"/>
      <c r="I31" s="5">
        <v>1.55566666666667</v>
      </c>
      <c r="J31" s="4"/>
      <c r="K31" s="5">
        <v>1.55566666666667</v>
      </c>
    </row>
    <row r="32" spans="1:11">
      <c r="A32" s="4" t="s">
        <v>6</v>
      </c>
      <c r="B32" s="33" t="s">
        <v>18</v>
      </c>
      <c r="C32" s="4"/>
      <c r="D32" s="4" t="s">
        <v>153</v>
      </c>
      <c r="E32" s="4"/>
      <c r="F32" s="4" t="s">
        <v>154</v>
      </c>
      <c r="G32" s="4"/>
      <c r="H32" s="4"/>
      <c r="I32" s="5">
        <v>2</v>
      </c>
      <c r="J32" s="4"/>
      <c r="K32" s="5">
        <v>2</v>
      </c>
    </row>
    <row r="33" spans="1:11">
      <c r="A33" s="4" t="s">
        <v>6</v>
      </c>
      <c r="B33" s="33" t="s">
        <v>19</v>
      </c>
      <c r="C33" s="4"/>
      <c r="D33" s="4" t="s">
        <v>156</v>
      </c>
      <c r="E33" s="4" t="s">
        <v>161</v>
      </c>
      <c r="F33" s="4"/>
      <c r="G33" s="4"/>
      <c r="H33" s="4"/>
      <c r="I33" s="5">
        <v>0.25</v>
      </c>
      <c r="J33" s="4"/>
      <c r="K33" s="5">
        <v>0.25</v>
      </c>
    </row>
    <row r="34" spans="1:11">
      <c r="A34" s="4" t="s">
        <v>6</v>
      </c>
      <c r="B34" s="33" t="s">
        <v>19</v>
      </c>
      <c r="C34" s="4"/>
      <c r="D34" s="4" t="s">
        <v>156</v>
      </c>
      <c r="E34" s="4" t="s">
        <v>162</v>
      </c>
      <c r="F34" s="4"/>
      <c r="G34" s="4"/>
      <c r="H34" s="4"/>
      <c r="I34" s="5">
        <v>0.25</v>
      </c>
      <c r="J34" s="4"/>
      <c r="K34" s="5">
        <v>0.25</v>
      </c>
    </row>
    <row r="35" spans="1:11">
      <c r="A35" s="4" t="s">
        <v>6</v>
      </c>
      <c r="B35" s="4" t="s">
        <v>19</v>
      </c>
      <c r="C35" s="4"/>
      <c r="D35" s="4" t="s">
        <v>156</v>
      </c>
      <c r="E35" s="4" t="s">
        <v>163</v>
      </c>
      <c r="F35" s="4" t="s">
        <v>78</v>
      </c>
      <c r="G35" s="4"/>
      <c r="H35" s="4"/>
      <c r="I35" s="5">
        <v>0.0625</v>
      </c>
      <c r="J35" s="4"/>
      <c r="K35" s="5">
        <f>I35</f>
        <v>0.0625</v>
      </c>
    </row>
    <row r="36" spans="1:11">
      <c r="A36" s="4" t="s">
        <v>6</v>
      </c>
      <c r="B36" s="33" t="s">
        <v>19</v>
      </c>
      <c r="C36" s="4"/>
      <c r="D36" s="4" t="s">
        <v>156</v>
      </c>
      <c r="E36" s="4" t="s">
        <v>159</v>
      </c>
      <c r="F36" s="4"/>
      <c r="G36" s="4"/>
      <c r="H36" s="4"/>
      <c r="I36" s="5">
        <v>0.5</v>
      </c>
      <c r="J36" s="4"/>
      <c r="K36" s="5">
        <v>0.5</v>
      </c>
    </row>
    <row r="37" spans="1:11">
      <c r="A37" s="4" t="s">
        <v>6</v>
      </c>
      <c r="B37" s="33" t="s">
        <v>19</v>
      </c>
      <c r="C37" s="4"/>
      <c r="D37" s="4" t="s">
        <v>152</v>
      </c>
      <c r="E37" s="4"/>
      <c r="F37" s="4"/>
      <c r="G37" s="4"/>
      <c r="H37" s="4"/>
      <c r="I37" s="5">
        <v>1.57173333333333</v>
      </c>
      <c r="J37" s="4"/>
      <c r="K37" s="5">
        <v>1.57173333333333</v>
      </c>
    </row>
    <row r="38" spans="1:11">
      <c r="A38" s="4" t="s">
        <v>6</v>
      </c>
      <c r="B38" s="33" t="s">
        <v>19</v>
      </c>
      <c r="C38" s="4"/>
      <c r="D38" s="4" t="s">
        <v>153</v>
      </c>
      <c r="E38" s="4"/>
      <c r="F38" s="4" t="s">
        <v>154</v>
      </c>
      <c r="G38" s="4"/>
      <c r="H38" s="4"/>
      <c r="I38" s="5">
        <v>3</v>
      </c>
      <c r="J38" s="4"/>
      <c r="K38" s="5">
        <v>3</v>
      </c>
    </row>
    <row r="39" spans="1:11">
      <c r="A39" s="4" t="s">
        <v>6</v>
      </c>
      <c r="B39" s="33" t="s">
        <v>20</v>
      </c>
      <c r="C39" s="4"/>
      <c r="D39" s="4" t="s">
        <v>152</v>
      </c>
      <c r="E39" s="4"/>
      <c r="F39" s="4"/>
      <c r="G39" s="4"/>
      <c r="H39" s="4"/>
      <c r="I39" s="5">
        <v>1.5532</v>
      </c>
      <c r="J39" s="4"/>
      <c r="K39" s="5">
        <v>1.5532</v>
      </c>
    </row>
    <row r="40" spans="1:11">
      <c r="A40" s="4" t="s">
        <v>6</v>
      </c>
      <c r="B40" s="33" t="s">
        <v>20</v>
      </c>
      <c r="C40" s="4"/>
      <c r="D40" s="4" t="s">
        <v>153</v>
      </c>
      <c r="E40" s="4" t="s">
        <v>164</v>
      </c>
      <c r="F40" s="4" t="s">
        <v>67</v>
      </c>
      <c r="G40" s="4"/>
      <c r="H40" s="4"/>
      <c r="I40" s="5">
        <v>0.25</v>
      </c>
      <c r="J40" s="4"/>
      <c r="K40" s="5">
        <v>0.25</v>
      </c>
    </row>
    <row r="41" spans="1:11">
      <c r="A41" s="4" t="s">
        <v>6</v>
      </c>
      <c r="B41" s="33" t="s">
        <v>20</v>
      </c>
      <c r="C41" s="4"/>
      <c r="D41" s="4" t="s">
        <v>153</v>
      </c>
      <c r="E41" s="4"/>
      <c r="F41" s="4" t="s">
        <v>154</v>
      </c>
      <c r="G41" s="4"/>
      <c r="H41" s="4"/>
      <c r="I41" s="5">
        <v>3</v>
      </c>
      <c r="J41" s="4"/>
      <c r="K41" s="5">
        <v>3</v>
      </c>
    </row>
    <row r="42" spans="1:11">
      <c r="A42" s="4" t="s">
        <v>6</v>
      </c>
      <c r="B42" s="33" t="s">
        <v>21</v>
      </c>
      <c r="C42" s="4"/>
      <c r="D42" s="4" t="s">
        <v>152</v>
      </c>
      <c r="E42" s="4"/>
      <c r="F42" s="4"/>
      <c r="G42" s="4"/>
      <c r="H42" s="4"/>
      <c r="I42" s="5">
        <v>1.546</v>
      </c>
      <c r="J42" s="4"/>
      <c r="K42" s="5">
        <v>1.546</v>
      </c>
    </row>
    <row r="43" spans="1:11">
      <c r="A43" s="4" t="s">
        <v>6</v>
      </c>
      <c r="B43" s="33" t="s">
        <v>22</v>
      </c>
      <c r="C43" s="4"/>
      <c r="D43" s="4" t="s">
        <v>156</v>
      </c>
      <c r="E43" s="4" t="s">
        <v>161</v>
      </c>
      <c r="F43" s="4"/>
      <c r="G43" s="4"/>
      <c r="H43" s="4"/>
      <c r="I43" s="5">
        <v>0.25</v>
      </c>
      <c r="J43" s="4"/>
      <c r="K43" s="5">
        <v>0.25</v>
      </c>
    </row>
    <row r="44" spans="1:11">
      <c r="A44" s="4" t="s">
        <v>6</v>
      </c>
      <c r="B44" s="33" t="s">
        <v>22</v>
      </c>
      <c r="C44" s="4"/>
      <c r="D44" s="4" t="s">
        <v>156</v>
      </c>
      <c r="E44" s="4" t="s">
        <v>162</v>
      </c>
      <c r="F44" s="4"/>
      <c r="G44" s="4"/>
      <c r="H44" s="4"/>
      <c r="I44" s="5">
        <v>0.25</v>
      </c>
      <c r="J44" s="4"/>
      <c r="K44" s="5">
        <v>0.25</v>
      </c>
    </row>
    <row r="45" spans="1:11">
      <c r="A45" s="4" t="s">
        <v>6</v>
      </c>
      <c r="B45" s="33" t="s">
        <v>22</v>
      </c>
      <c r="C45" s="4"/>
      <c r="D45" s="4" t="s">
        <v>156</v>
      </c>
      <c r="E45" s="4" t="s">
        <v>159</v>
      </c>
      <c r="F45" s="4"/>
      <c r="G45" s="4"/>
      <c r="H45" s="4"/>
      <c r="I45" s="5">
        <v>0.5</v>
      </c>
      <c r="J45" s="4"/>
      <c r="K45" s="5">
        <v>0.5</v>
      </c>
    </row>
    <row r="46" spans="1:11">
      <c r="A46" s="4" t="s">
        <v>6</v>
      </c>
      <c r="B46" s="33" t="s">
        <v>22</v>
      </c>
      <c r="C46" s="4"/>
      <c r="D46" s="4" t="s">
        <v>152</v>
      </c>
      <c r="E46" s="4"/>
      <c r="F46" s="4"/>
      <c r="G46" s="4"/>
      <c r="H46" s="4"/>
      <c r="I46" s="5">
        <v>1.57173333333333</v>
      </c>
      <c r="J46" s="4"/>
      <c r="K46" s="5">
        <v>1.57173333333333</v>
      </c>
    </row>
    <row r="47" spans="1:11">
      <c r="A47" s="4" t="s">
        <v>6</v>
      </c>
      <c r="B47" s="33" t="s">
        <v>22</v>
      </c>
      <c r="C47" s="4"/>
      <c r="D47" s="4" t="s">
        <v>153</v>
      </c>
      <c r="E47" s="4"/>
      <c r="F47" s="4" t="s">
        <v>154</v>
      </c>
      <c r="G47" s="4"/>
      <c r="H47" s="4"/>
      <c r="I47" s="5">
        <v>3</v>
      </c>
      <c r="J47" s="4"/>
      <c r="K47" s="5">
        <v>3</v>
      </c>
    </row>
    <row r="48" spans="1:11">
      <c r="A48" s="4" t="s">
        <v>6</v>
      </c>
      <c r="B48" s="33" t="s">
        <v>23</v>
      </c>
      <c r="C48" s="4"/>
      <c r="D48" s="4" t="s">
        <v>156</v>
      </c>
      <c r="E48" s="4" t="s">
        <v>165</v>
      </c>
      <c r="F48" s="4" t="s">
        <v>78</v>
      </c>
      <c r="G48" s="4"/>
      <c r="H48" s="4"/>
      <c r="I48" s="5">
        <v>0.25</v>
      </c>
      <c r="J48" s="4"/>
      <c r="K48" s="5">
        <v>0.25</v>
      </c>
    </row>
    <row r="49" spans="1:11">
      <c r="A49" s="4" t="s">
        <v>6</v>
      </c>
      <c r="B49" s="33" t="s">
        <v>23</v>
      </c>
      <c r="C49" s="4"/>
      <c r="D49" s="4" t="s">
        <v>152</v>
      </c>
      <c r="E49" s="4"/>
      <c r="F49" s="4"/>
      <c r="G49" s="4"/>
      <c r="H49" s="4"/>
      <c r="I49" s="5">
        <v>1.52561111111111</v>
      </c>
      <c r="J49" s="4"/>
      <c r="K49" s="5">
        <v>1.52561111111111</v>
      </c>
    </row>
    <row r="50" spans="1:11">
      <c r="A50" s="4" t="s">
        <v>6</v>
      </c>
      <c r="B50" s="33" t="s">
        <v>23</v>
      </c>
      <c r="C50" s="4"/>
      <c r="D50" s="4" t="s">
        <v>153</v>
      </c>
      <c r="E50" s="4"/>
      <c r="F50" s="4" t="s">
        <v>154</v>
      </c>
      <c r="G50" s="4"/>
      <c r="H50" s="4"/>
      <c r="I50" s="5">
        <v>3</v>
      </c>
      <c r="J50" s="4"/>
      <c r="K50" s="5">
        <v>3</v>
      </c>
    </row>
    <row r="51" spans="1:11">
      <c r="A51" s="4" t="s">
        <v>6</v>
      </c>
      <c r="B51" s="33" t="s">
        <v>24</v>
      </c>
      <c r="C51" s="4"/>
      <c r="D51" s="4" t="s">
        <v>152</v>
      </c>
      <c r="E51" s="4"/>
      <c r="F51" s="4"/>
      <c r="G51" s="4"/>
      <c r="H51" s="4"/>
      <c r="I51" s="5">
        <v>1.55566666666667</v>
      </c>
      <c r="J51" s="4"/>
      <c r="K51" s="5">
        <v>1.55566666666667</v>
      </c>
    </row>
    <row r="52" spans="1:11">
      <c r="A52" s="4" t="s">
        <v>6</v>
      </c>
      <c r="B52" s="33" t="s">
        <v>24</v>
      </c>
      <c r="C52" s="4"/>
      <c r="D52" s="4" t="s">
        <v>153</v>
      </c>
      <c r="E52" s="4"/>
      <c r="F52" s="4" t="s">
        <v>154</v>
      </c>
      <c r="G52" s="4"/>
      <c r="H52" s="4"/>
      <c r="I52" s="5">
        <v>0.65</v>
      </c>
      <c r="J52" s="4"/>
      <c r="K52" s="5">
        <v>0.65</v>
      </c>
    </row>
    <row r="53" spans="1:11">
      <c r="A53" s="4" t="s">
        <v>6</v>
      </c>
      <c r="B53" s="33" t="s">
        <v>25</v>
      </c>
      <c r="C53" s="4"/>
      <c r="D53" s="4" t="s">
        <v>152</v>
      </c>
      <c r="E53" s="4"/>
      <c r="F53" s="4"/>
      <c r="G53" s="4"/>
      <c r="H53" s="4"/>
      <c r="I53" s="5">
        <v>1.39766666666667</v>
      </c>
      <c r="J53" s="4"/>
      <c r="K53" s="5">
        <v>1.39766666666667</v>
      </c>
    </row>
    <row r="54" spans="1:11">
      <c r="A54" s="4" t="s">
        <v>6</v>
      </c>
      <c r="B54" s="33" t="s">
        <v>25</v>
      </c>
      <c r="C54" s="4"/>
      <c r="D54" s="4" t="s">
        <v>153</v>
      </c>
      <c r="E54" s="4"/>
      <c r="F54" s="4" t="s">
        <v>154</v>
      </c>
      <c r="G54" s="4"/>
      <c r="H54" s="4"/>
      <c r="I54" s="5">
        <v>3</v>
      </c>
      <c r="J54" s="4"/>
      <c r="K54" s="5">
        <v>3</v>
      </c>
    </row>
    <row r="55" spans="1:11">
      <c r="A55" s="4" t="s">
        <v>6</v>
      </c>
      <c r="B55" s="33" t="s">
        <v>26</v>
      </c>
      <c r="C55" s="4"/>
      <c r="D55" s="4" t="s">
        <v>152</v>
      </c>
      <c r="E55" s="4"/>
      <c r="F55" s="4"/>
      <c r="G55" s="4"/>
      <c r="H55" s="4"/>
      <c r="I55" s="5">
        <v>1.55566666666667</v>
      </c>
      <c r="J55" s="4"/>
      <c r="K55" s="5">
        <v>1.55566666666667</v>
      </c>
    </row>
    <row r="56" spans="1:11">
      <c r="A56" s="4" t="s">
        <v>6</v>
      </c>
      <c r="B56" s="33" t="s">
        <v>27</v>
      </c>
      <c r="C56" s="4"/>
      <c r="D56" s="4" t="s">
        <v>152</v>
      </c>
      <c r="E56" s="4"/>
      <c r="F56" s="4"/>
      <c r="G56" s="4"/>
      <c r="H56" s="4"/>
      <c r="I56" s="5">
        <v>1.54966666666667</v>
      </c>
      <c r="J56" s="4"/>
      <c r="K56" s="5">
        <v>1.54966666666667</v>
      </c>
    </row>
    <row r="57" spans="1:11">
      <c r="A57" s="4" t="s">
        <v>6</v>
      </c>
      <c r="B57" s="33" t="s">
        <v>28</v>
      </c>
      <c r="C57" s="4"/>
      <c r="D57" s="4" t="s">
        <v>152</v>
      </c>
      <c r="E57" s="4"/>
      <c r="F57" s="4"/>
      <c r="G57" s="4"/>
      <c r="H57" s="4"/>
      <c r="I57" s="5">
        <v>1.55566666666667</v>
      </c>
      <c r="J57" s="4"/>
      <c r="K57" s="5">
        <v>1.55566666666667</v>
      </c>
    </row>
    <row r="58" spans="1:11">
      <c r="A58" s="4" t="s">
        <v>6</v>
      </c>
      <c r="B58" s="33" t="s">
        <v>28</v>
      </c>
      <c r="C58" s="4"/>
      <c r="D58" s="4" t="s">
        <v>153</v>
      </c>
      <c r="E58" s="4"/>
      <c r="F58" s="4" t="s">
        <v>154</v>
      </c>
      <c r="G58" s="4"/>
      <c r="H58" s="4"/>
      <c r="I58" s="5">
        <v>0.05</v>
      </c>
      <c r="J58" s="4"/>
      <c r="K58" s="5">
        <v>0.05</v>
      </c>
    </row>
    <row r="59" spans="1:11">
      <c r="A59" s="4" t="s">
        <v>6</v>
      </c>
      <c r="B59" s="33" t="s">
        <v>29</v>
      </c>
      <c r="C59" s="4"/>
      <c r="D59" s="4" t="s">
        <v>152</v>
      </c>
      <c r="E59" s="4"/>
      <c r="F59" s="4"/>
      <c r="G59" s="4"/>
      <c r="H59" s="4"/>
      <c r="I59" s="5">
        <v>1.5532</v>
      </c>
      <c r="J59" s="4"/>
      <c r="K59" s="5">
        <v>1.5532</v>
      </c>
    </row>
    <row r="60" spans="1:11">
      <c r="A60" s="4" t="s">
        <v>6</v>
      </c>
      <c r="B60" s="33" t="s">
        <v>29</v>
      </c>
      <c r="C60" s="4"/>
      <c r="D60" s="4" t="s">
        <v>153</v>
      </c>
      <c r="E60" s="4"/>
      <c r="F60" s="4" t="s">
        <v>154</v>
      </c>
      <c r="G60" s="4"/>
      <c r="H60" s="4"/>
      <c r="I60" s="5">
        <v>3</v>
      </c>
      <c r="J60" s="4"/>
      <c r="K60" s="5">
        <v>3</v>
      </c>
    </row>
    <row r="61" spans="1:11">
      <c r="A61" s="4" t="s">
        <v>6</v>
      </c>
      <c r="B61" s="33" t="s">
        <v>30</v>
      </c>
      <c r="C61" s="4"/>
      <c r="D61" s="4" t="s">
        <v>152</v>
      </c>
      <c r="E61" s="4"/>
      <c r="F61" s="4"/>
      <c r="G61" s="4"/>
      <c r="H61" s="4"/>
      <c r="I61" s="5">
        <v>1.5532</v>
      </c>
      <c r="J61" s="4"/>
      <c r="K61" s="5">
        <v>1.5532</v>
      </c>
    </row>
    <row r="62" spans="1:11">
      <c r="A62" s="4" t="s">
        <v>6</v>
      </c>
      <c r="B62" s="33" t="s">
        <v>30</v>
      </c>
      <c r="C62" s="4"/>
      <c r="D62" s="4" t="s">
        <v>153</v>
      </c>
      <c r="E62" s="4"/>
      <c r="F62" s="4" t="s">
        <v>154</v>
      </c>
      <c r="G62" s="4"/>
      <c r="H62" s="4"/>
      <c r="I62" s="5">
        <v>1.1</v>
      </c>
      <c r="J62" s="4"/>
      <c r="K62" s="5">
        <v>1.1</v>
      </c>
    </row>
  </sheetData>
  <sortState ref="A2:K62">
    <sortCondition ref="B2:B62"/>
    <sortCondition ref="D2:D62"/>
    <sortCondition ref="E2:E62"/>
  </sortState>
  <dataValidations count="2">
    <dataValidation allowBlank="1" showInputMessage="1" showErrorMessage="1" sqref="D1"/>
    <dataValidation type="list" allowBlank="1" showInputMessage="1" showErrorMessage="1" sqref="D2:D1048576">
      <formula1>"劳动日常考核基础分,活动与卫生加减分,志愿服务,实习实训"</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1"/>
  <sheetViews>
    <sheetView topLeftCell="C7" workbookViewId="0">
      <selection activeCell="F25" sqref="F25"/>
    </sheetView>
  </sheetViews>
  <sheetFormatPr defaultColWidth="9.18269230769231" defaultRowHeight="16.8"/>
  <cols>
    <col min="1" max="1" width="42.9038461538462" style="1" customWidth="1"/>
    <col min="2" max="2" width="14.0865384615385" style="1" customWidth="1"/>
    <col min="3" max="3" width="9.63461538461538" style="1" customWidth="1"/>
    <col min="4" max="4" width="29.6346153846154" style="1" customWidth="1"/>
    <col min="5" max="5" width="95.1826923076923" style="1" customWidth="1"/>
    <col min="6" max="6" width="11.8173076923077" style="1" customWidth="1"/>
    <col min="7" max="7" width="7.36538461538461" style="1" customWidth="1"/>
    <col min="8" max="9" width="8.08653846153846" style="1" customWidth="1"/>
    <col min="10" max="10" width="9.36538461538461" style="2" customWidth="1"/>
    <col min="11" max="11" width="15.0865384615385" style="2" customWidth="1"/>
    <col min="12" max="12" width="6" style="2" customWidth="1"/>
    <col min="13" max="16384" width="9.18269230769231" style="3"/>
  </cols>
  <sheetData>
    <row r="1" spans="1:12">
      <c r="A1" s="4" t="s">
        <v>0</v>
      </c>
      <c r="B1" s="4" t="s">
        <v>1</v>
      </c>
      <c r="C1" s="4" t="s">
        <v>2</v>
      </c>
      <c r="D1" s="4" t="s">
        <v>69</v>
      </c>
      <c r="E1" s="4" t="s">
        <v>70</v>
      </c>
      <c r="F1" s="4" t="s">
        <v>71</v>
      </c>
      <c r="G1" s="4" t="s">
        <v>72</v>
      </c>
      <c r="H1" s="4" t="s">
        <v>123</v>
      </c>
      <c r="I1" s="4" t="s">
        <v>124</v>
      </c>
      <c r="J1" s="5" t="s">
        <v>73</v>
      </c>
      <c r="K1" s="5" t="s">
        <v>125</v>
      </c>
      <c r="L1" s="5" t="s">
        <v>68</v>
      </c>
    </row>
    <row r="2" spans="1:12">
      <c r="A2" s="4" t="s">
        <v>6</v>
      </c>
      <c r="B2" s="33" t="s">
        <v>31</v>
      </c>
      <c r="C2" s="4"/>
      <c r="D2" s="4" t="s">
        <v>54</v>
      </c>
      <c r="E2" s="4" t="s">
        <v>166</v>
      </c>
      <c r="F2" s="4" t="s">
        <v>134</v>
      </c>
      <c r="G2" s="4"/>
      <c r="H2" s="4" t="s">
        <v>145</v>
      </c>
      <c r="I2" s="4"/>
      <c r="J2" s="5">
        <v>1.5</v>
      </c>
      <c r="K2" s="5"/>
      <c r="L2" s="5">
        <v>1.5</v>
      </c>
    </row>
    <row r="3" spans="1:12">
      <c r="A3" s="4" t="s">
        <v>6</v>
      </c>
      <c r="B3" s="33" t="s">
        <v>31</v>
      </c>
      <c r="C3" s="4"/>
      <c r="D3" s="4" t="s">
        <v>54</v>
      </c>
      <c r="E3" s="4" t="s">
        <v>167</v>
      </c>
      <c r="F3" s="4" t="s">
        <v>168</v>
      </c>
      <c r="G3" s="4"/>
      <c r="H3" s="4" t="s">
        <v>139</v>
      </c>
      <c r="I3" s="4">
        <v>1</v>
      </c>
      <c r="J3" s="5">
        <v>3.5</v>
      </c>
      <c r="K3" s="5"/>
      <c r="L3" s="5">
        <v>3.5</v>
      </c>
    </row>
    <row r="4" spans="1:12">
      <c r="A4" s="4" t="s">
        <v>6</v>
      </c>
      <c r="B4" s="33" t="s">
        <v>31</v>
      </c>
      <c r="C4" s="4"/>
      <c r="D4" s="4" t="s">
        <v>54</v>
      </c>
      <c r="E4" s="4" t="s">
        <v>169</v>
      </c>
      <c r="F4" s="4" t="s">
        <v>168</v>
      </c>
      <c r="G4" s="4"/>
      <c r="H4" s="4" t="s">
        <v>139</v>
      </c>
      <c r="I4" s="4"/>
      <c r="J4" s="5">
        <v>3.5</v>
      </c>
      <c r="K4" s="5"/>
      <c r="L4" s="5">
        <v>3.5</v>
      </c>
    </row>
    <row r="5" spans="1:12">
      <c r="A5" s="4" t="s">
        <v>6</v>
      </c>
      <c r="B5" s="33" t="s">
        <v>31</v>
      </c>
      <c r="C5" s="4"/>
      <c r="D5" s="4" t="s">
        <v>54</v>
      </c>
      <c r="E5" s="4" t="s">
        <v>170</v>
      </c>
      <c r="F5" s="4" t="s">
        <v>171</v>
      </c>
      <c r="G5" s="4"/>
      <c r="H5" s="4" t="s">
        <v>139</v>
      </c>
      <c r="I5" s="4">
        <v>2</v>
      </c>
      <c r="J5" s="5">
        <v>2</v>
      </c>
      <c r="K5" s="5">
        <v>0.8</v>
      </c>
      <c r="L5" s="5">
        <v>1.6</v>
      </c>
    </row>
    <row r="6" spans="1:12">
      <c r="A6" s="4" t="s">
        <v>6</v>
      </c>
      <c r="B6" s="33" t="s">
        <v>31</v>
      </c>
      <c r="C6" s="4"/>
      <c r="D6" s="4" t="s">
        <v>54</v>
      </c>
      <c r="E6" s="4" t="s">
        <v>172</v>
      </c>
      <c r="F6" s="4" t="s">
        <v>134</v>
      </c>
      <c r="G6" s="4"/>
      <c r="H6" s="4" t="s">
        <v>139</v>
      </c>
      <c r="I6" s="4"/>
      <c r="J6" s="5">
        <v>1</v>
      </c>
      <c r="K6" s="5"/>
      <c r="L6" s="5">
        <v>1</v>
      </c>
    </row>
    <row r="7" spans="1:12">
      <c r="A7" s="4" t="s">
        <v>6</v>
      </c>
      <c r="B7" s="33" t="s">
        <v>31</v>
      </c>
      <c r="C7" s="4"/>
      <c r="D7" s="4" t="s">
        <v>54</v>
      </c>
      <c r="E7" s="4" t="s">
        <v>173</v>
      </c>
      <c r="F7" s="4" t="s">
        <v>134</v>
      </c>
      <c r="G7" s="4"/>
      <c r="H7" s="4" t="s">
        <v>145</v>
      </c>
      <c r="I7" s="4"/>
      <c r="J7" s="5">
        <v>1.5</v>
      </c>
      <c r="K7" s="5">
        <v>0.9</v>
      </c>
      <c r="L7" s="5">
        <f>K7*J7</f>
        <v>1.35</v>
      </c>
    </row>
    <row r="8" spans="1:12">
      <c r="A8" s="4" t="s">
        <v>6</v>
      </c>
      <c r="B8" s="33" t="s">
        <v>33</v>
      </c>
      <c r="C8" s="4"/>
      <c r="D8" s="4" t="s">
        <v>54</v>
      </c>
      <c r="E8" s="4" t="s">
        <v>174</v>
      </c>
      <c r="F8" s="4" t="s">
        <v>168</v>
      </c>
      <c r="G8" s="4"/>
      <c r="H8" s="4" t="s">
        <v>175</v>
      </c>
      <c r="I8" s="4"/>
      <c r="J8" s="5">
        <v>4</v>
      </c>
      <c r="K8" s="5">
        <v>0.9</v>
      </c>
      <c r="L8" s="5">
        <v>3.6</v>
      </c>
    </row>
    <row r="9" spans="1:12">
      <c r="A9" s="4" t="s">
        <v>6</v>
      </c>
      <c r="B9" s="33" t="s">
        <v>33</v>
      </c>
      <c r="C9" s="4"/>
      <c r="D9" s="4" t="s">
        <v>54</v>
      </c>
      <c r="E9" s="4" t="s">
        <v>172</v>
      </c>
      <c r="F9" s="4"/>
      <c r="G9" s="4"/>
      <c r="H9" s="4"/>
      <c r="I9" s="4"/>
      <c r="J9" s="5">
        <v>4</v>
      </c>
      <c r="K9" s="5">
        <v>0.9</v>
      </c>
      <c r="L9" s="5">
        <v>3.6</v>
      </c>
    </row>
    <row r="10" spans="1:12">
      <c r="A10" s="4" t="s">
        <v>6</v>
      </c>
      <c r="B10" s="33" t="s">
        <v>32</v>
      </c>
      <c r="C10" s="4"/>
      <c r="D10" s="4" t="s">
        <v>54</v>
      </c>
      <c r="E10" s="4" t="s">
        <v>176</v>
      </c>
      <c r="F10" s="4"/>
      <c r="G10" s="4"/>
      <c r="H10" s="4"/>
      <c r="I10" s="4"/>
      <c r="J10" s="5">
        <v>3.5</v>
      </c>
      <c r="K10" s="5">
        <v>0.8</v>
      </c>
      <c r="L10" s="5">
        <v>2.8</v>
      </c>
    </row>
    <row r="11" spans="1:12">
      <c r="A11" s="4" t="s">
        <v>6</v>
      </c>
      <c r="B11" s="4" t="s">
        <v>7</v>
      </c>
      <c r="C11" s="4"/>
      <c r="D11" s="4" t="s">
        <v>54</v>
      </c>
      <c r="E11" s="4" t="s">
        <v>177</v>
      </c>
      <c r="F11" s="4" t="s">
        <v>78</v>
      </c>
      <c r="G11" s="4"/>
      <c r="H11" s="4" t="s">
        <v>139</v>
      </c>
      <c r="I11" s="4"/>
      <c r="J11" s="5">
        <v>0.25</v>
      </c>
      <c r="K11" s="5"/>
      <c r="L11" s="5">
        <f>J11</f>
        <v>0.25</v>
      </c>
    </row>
    <row r="12" spans="1:12">
      <c r="A12" s="4" t="s">
        <v>6</v>
      </c>
      <c r="B12" s="33" t="s">
        <v>7</v>
      </c>
      <c r="C12" s="4"/>
      <c r="D12" s="4" t="s">
        <v>54</v>
      </c>
      <c r="E12" s="4" t="s">
        <v>172</v>
      </c>
      <c r="F12" s="4" t="s">
        <v>134</v>
      </c>
      <c r="G12" s="4"/>
      <c r="H12" s="4" t="s">
        <v>145</v>
      </c>
      <c r="I12" s="4"/>
      <c r="J12" s="5">
        <v>1.5</v>
      </c>
      <c r="K12" s="5"/>
      <c r="L12" s="5">
        <v>1.5</v>
      </c>
    </row>
    <row r="13" spans="1:12">
      <c r="A13" s="4" t="s">
        <v>6</v>
      </c>
      <c r="B13" s="33" t="s">
        <v>7</v>
      </c>
      <c r="C13" s="4"/>
      <c r="D13" s="4" t="s">
        <v>54</v>
      </c>
      <c r="E13" s="4" t="s">
        <v>173</v>
      </c>
      <c r="F13" s="4"/>
      <c r="G13" s="4"/>
      <c r="H13" s="4"/>
      <c r="I13" s="4"/>
      <c r="J13" s="5">
        <v>1</v>
      </c>
      <c r="K13" s="5">
        <v>0.9</v>
      </c>
      <c r="L13" s="5">
        <v>0.9</v>
      </c>
    </row>
    <row r="14" spans="1:12">
      <c r="A14" s="4" t="s">
        <v>6</v>
      </c>
      <c r="B14" s="33" t="s">
        <v>7</v>
      </c>
      <c r="C14" s="4"/>
      <c r="D14" s="4" t="s">
        <v>55</v>
      </c>
      <c r="E14" s="4" t="s">
        <v>178</v>
      </c>
      <c r="F14" s="4" t="s">
        <v>134</v>
      </c>
      <c r="G14" s="4"/>
      <c r="H14" s="4"/>
      <c r="I14" s="4"/>
      <c r="J14" s="5">
        <v>0.72</v>
      </c>
      <c r="K14" s="5"/>
      <c r="L14" s="5">
        <v>0.72</v>
      </c>
    </row>
    <row r="15" spans="1:12">
      <c r="A15" s="4" t="s">
        <v>6</v>
      </c>
      <c r="B15" s="4" t="s">
        <v>8</v>
      </c>
      <c r="C15" s="4"/>
      <c r="D15" s="4" t="s">
        <v>54</v>
      </c>
      <c r="E15" s="4" t="s">
        <v>177</v>
      </c>
      <c r="F15" s="4" t="s">
        <v>78</v>
      </c>
      <c r="G15" s="4"/>
      <c r="H15" s="4" t="s">
        <v>139</v>
      </c>
      <c r="I15" s="4"/>
      <c r="J15" s="5">
        <v>0.25</v>
      </c>
      <c r="K15" s="5"/>
      <c r="L15" s="5">
        <f>J15</f>
        <v>0.25</v>
      </c>
    </row>
    <row r="16" spans="1:12">
      <c r="A16" s="4" t="s">
        <v>6</v>
      </c>
      <c r="B16" s="33" t="s">
        <v>8</v>
      </c>
      <c r="C16" s="4"/>
      <c r="D16" s="4" t="s">
        <v>54</v>
      </c>
      <c r="E16" s="4" t="s">
        <v>179</v>
      </c>
      <c r="F16" s="4"/>
      <c r="G16" s="4"/>
      <c r="H16" s="4"/>
      <c r="I16" s="4"/>
      <c r="J16" s="5">
        <v>1</v>
      </c>
      <c r="K16" s="5">
        <v>0.6</v>
      </c>
      <c r="L16" s="5">
        <v>0.6</v>
      </c>
    </row>
    <row r="17" spans="1:12">
      <c r="A17" s="4" t="s">
        <v>6</v>
      </c>
      <c r="B17" s="33" t="s">
        <v>10</v>
      </c>
      <c r="C17" s="4"/>
      <c r="D17" s="4" t="s">
        <v>55</v>
      </c>
      <c r="E17" s="4" t="s">
        <v>178</v>
      </c>
      <c r="F17" s="4"/>
      <c r="G17" s="4"/>
      <c r="H17" s="4"/>
      <c r="I17" s="4"/>
      <c r="J17" s="5">
        <v>0.9</v>
      </c>
      <c r="K17" s="5"/>
      <c r="L17" s="5">
        <v>0.9</v>
      </c>
    </row>
    <row r="18" spans="1:12">
      <c r="A18" s="4" t="s">
        <v>6</v>
      </c>
      <c r="B18" s="33" t="s">
        <v>11</v>
      </c>
      <c r="C18" s="4"/>
      <c r="D18" s="4" t="s">
        <v>54</v>
      </c>
      <c r="E18" s="4" t="s">
        <v>180</v>
      </c>
      <c r="F18" s="4" t="s">
        <v>171</v>
      </c>
      <c r="G18" s="4"/>
      <c r="H18" s="4"/>
      <c r="I18" s="4"/>
      <c r="J18" s="5">
        <v>2.5</v>
      </c>
      <c r="K18" s="5">
        <v>0.9</v>
      </c>
      <c r="L18" s="5">
        <v>2.25</v>
      </c>
    </row>
    <row r="19" spans="1:12">
      <c r="A19" s="4" t="s">
        <v>6</v>
      </c>
      <c r="B19" s="33" t="s">
        <v>11</v>
      </c>
      <c r="C19" s="4"/>
      <c r="D19" s="4" t="s">
        <v>54</v>
      </c>
      <c r="E19" s="4" t="s">
        <v>172</v>
      </c>
      <c r="F19" s="4" t="s">
        <v>134</v>
      </c>
      <c r="G19" s="4"/>
      <c r="H19" s="4" t="s">
        <v>145</v>
      </c>
      <c r="I19" s="4"/>
      <c r="J19" s="5">
        <v>1.5</v>
      </c>
      <c r="K19" s="5"/>
      <c r="L19" s="5">
        <v>1.5</v>
      </c>
    </row>
    <row r="20" spans="1:12">
      <c r="A20" s="4" t="s">
        <v>6</v>
      </c>
      <c r="B20" s="33" t="s">
        <v>11</v>
      </c>
      <c r="C20" s="4"/>
      <c r="D20" s="4" t="s">
        <v>54</v>
      </c>
      <c r="E20" s="4" t="s">
        <v>176</v>
      </c>
      <c r="F20" s="4"/>
      <c r="G20" s="4"/>
      <c r="H20" s="4"/>
      <c r="I20" s="4"/>
      <c r="J20" s="5">
        <v>3.5</v>
      </c>
      <c r="K20" s="5">
        <v>0.5</v>
      </c>
      <c r="L20" s="5">
        <v>1.75</v>
      </c>
    </row>
    <row r="21" spans="1:12">
      <c r="A21" s="4" t="s">
        <v>6</v>
      </c>
      <c r="B21" s="33" t="s">
        <v>11</v>
      </c>
      <c r="C21" s="4"/>
      <c r="D21" s="4" t="s">
        <v>181</v>
      </c>
      <c r="E21" s="4" t="s">
        <v>182</v>
      </c>
      <c r="F21" s="4" t="s">
        <v>75</v>
      </c>
      <c r="G21" s="4" t="s">
        <v>120</v>
      </c>
      <c r="H21" s="4"/>
      <c r="I21" s="4"/>
      <c r="J21" s="5">
        <v>0.3</v>
      </c>
      <c r="K21" s="5"/>
      <c r="L21" s="5">
        <v>0.3</v>
      </c>
    </row>
    <row r="22" spans="1:12">
      <c r="A22" s="4" t="s">
        <v>6</v>
      </c>
      <c r="B22" s="33" t="s">
        <v>11</v>
      </c>
      <c r="C22" s="4"/>
      <c r="D22" s="4" t="s">
        <v>181</v>
      </c>
      <c r="E22" s="4" t="s">
        <v>182</v>
      </c>
      <c r="F22" s="4" t="s">
        <v>75</v>
      </c>
      <c r="G22" s="4" t="s">
        <v>121</v>
      </c>
      <c r="H22" s="4"/>
      <c r="I22" s="4"/>
      <c r="J22" s="5">
        <v>0.3</v>
      </c>
      <c r="K22" s="5"/>
      <c r="L22" s="5">
        <v>0.3</v>
      </c>
    </row>
    <row r="23" spans="1:12">
      <c r="A23" s="4" t="s">
        <v>6</v>
      </c>
      <c r="B23" s="33" t="s">
        <v>11</v>
      </c>
      <c r="C23" s="4"/>
      <c r="D23" s="4" t="s">
        <v>56</v>
      </c>
      <c r="E23" s="4" t="s">
        <v>183</v>
      </c>
      <c r="F23" s="4"/>
      <c r="G23" s="4"/>
      <c r="H23" s="4"/>
      <c r="I23" s="4"/>
      <c r="J23" s="5">
        <v>0.1</v>
      </c>
      <c r="K23" s="5"/>
      <c r="L23" s="5">
        <v>0.1</v>
      </c>
    </row>
    <row r="24" spans="1:12">
      <c r="A24" s="4" t="s">
        <v>6</v>
      </c>
      <c r="B24" s="33" t="s">
        <v>11</v>
      </c>
      <c r="C24" s="4"/>
      <c r="D24" s="4" t="s">
        <v>55</v>
      </c>
      <c r="E24" s="4" t="s">
        <v>184</v>
      </c>
      <c r="F24" s="4" t="s">
        <v>134</v>
      </c>
      <c r="G24" s="4"/>
      <c r="H24" s="4"/>
      <c r="I24" s="4"/>
      <c r="J24" s="5">
        <v>0.75</v>
      </c>
      <c r="K24" s="5"/>
      <c r="L24" s="5">
        <v>0.75</v>
      </c>
    </row>
    <row r="25" spans="1:12">
      <c r="A25" s="4" t="s">
        <v>6</v>
      </c>
      <c r="B25" s="33" t="s">
        <v>12</v>
      </c>
      <c r="C25" s="4"/>
      <c r="D25" s="4" t="s">
        <v>55</v>
      </c>
      <c r="E25" s="4" t="s">
        <v>185</v>
      </c>
      <c r="F25" s="4"/>
      <c r="G25" s="4"/>
      <c r="H25" s="4"/>
      <c r="I25" s="4"/>
      <c r="J25" s="5">
        <v>0.5</v>
      </c>
      <c r="K25" s="5"/>
      <c r="L25" s="5">
        <v>0.5</v>
      </c>
    </row>
    <row r="26" spans="1:12">
      <c r="A26" s="4" t="s">
        <v>6</v>
      </c>
      <c r="B26" s="33" t="s">
        <v>13</v>
      </c>
      <c r="C26" s="4"/>
      <c r="D26" s="4" t="s">
        <v>54</v>
      </c>
      <c r="E26" s="4" t="s">
        <v>186</v>
      </c>
      <c r="F26" s="4"/>
      <c r="G26" s="4"/>
      <c r="H26" s="4"/>
      <c r="I26" s="4"/>
      <c r="J26" s="5">
        <v>2</v>
      </c>
      <c r="K26" s="5">
        <v>0.5</v>
      </c>
      <c r="L26" s="5">
        <v>1</v>
      </c>
    </row>
    <row r="27" spans="1:12">
      <c r="A27" s="4" t="s">
        <v>6</v>
      </c>
      <c r="B27" s="33" t="s">
        <v>13</v>
      </c>
      <c r="C27" s="4"/>
      <c r="D27" s="4" t="s">
        <v>54</v>
      </c>
      <c r="E27" s="4" t="s">
        <v>187</v>
      </c>
      <c r="F27" s="4"/>
      <c r="G27" s="4"/>
      <c r="H27" s="4"/>
      <c r="I27" s="4"/>
      <c r="J27" s="5">
        <v>1</v>
      </c>
      <c r="K27" s="5">
        <v>1</v>
      </c>
      <c r="L27" s="5">
        <v>1</v>
      </c>
    </row>
    <row r="28" spans="1:12">
      <c r="A28" s="4" t="s">
        <v>6</v>
      </c>
      <c r="B28" s="4" t="s">
        <v>13</v>
      </c>
      <c r="C28" s="4"/>
      <c r="D28" s="4" t="s">
        <v>54</v>
      </c>
      <c r="E28" s="4" t="s">
        <v>188</v>
      </c>
      <c r="F28" s="4" t="s">
        <v>78</v>
      </c>
      <c r="G28" s="4"/>
      <c r="H28" s="4" t="s">
        <v>139</v>
      </c>
      <c r="I28" s="4"/>
      <c r="J28" s="5">
        <v>0.25</v>
      </c>
      <c r="K28" s="5"/>
      <c r="L28" s="5">
        <f>J28</f>
        <v>0.25</v>
      </c>
    </row>
    <row r="29" spans="1:12">
      <c r="A29" s="4" t="s">
        <v>6</v>
      </c>
      <c r="B29" s="33" t="s">
        <v>13</v>
      </c>
      <c r="C29" s="4"/>
      <c r="D29" s="4" t="s">
        <v>54</v>
      </c>
      <c r="E29" s="4" t="s">
        <v>189</v>
      </c>
      <c r="F29" s="4"/>
      <c r="G29" s="4"/>
      <c r="H29" s="4"/>
      <c r="I29" s="4"/>
      <c r="J29" s="5">
        <v>2.5</v>
      </c>
      <c r="K29" s="5">
        <v>0.8</v>
      </c>
      <c r="L29" s="5">
        <v>2</v>
      </c>
    </row>
    <row r="30" spans="1:12">
      <c r="A30" s="4" t="s">
        <v>6</v>
      </c>
      <c r="B30" s="33" t="s">
        <v>13</v>
      </c>
      <c r="C30" s="4"/>
      <c r="D30" s="4" t="s">
        <v>54</v>
      </c>
      <c r="E30" s="4" t="s">
        <v>190</v>
      </c>
      <c r="F30" s="4"/>
      <c r="G30" s="4"/>
      <c r="H30" s="4"/>
      <c r="I30" s="4"/>
      <c r="J30" s="5">
        <v>1</v>
      </c>
      <c r="K30" s="5">
        <v>0.5</v>
      </c>
      <c r="L30" s="5">
        <v>0.5</v>
      </c>
    </row>
    <row r="31" spans="1:12">
      <c r="A31" s="4" t="s">
        <v>6</v>
      </c>
      <c r="B31" s="33" t="s">
        <v>13</v>
      </c>
      <c r="C31" s="4"/>
      <c r="D31" s="4" t="s">
        <v>181</v>
      </c>
      <c r="E31" s="4" t="s">
        <v>191</v>
      </c>
      <c r="F31" s="4" t="s">
        <v>75</v>
      </c>
      <c r="G31" s="4" t="s">
        <v>120</v>
      </c>
      <c r="H31" s="4"/>
      <c r="I31" s="4"/>
      <c r="J31" s="5">
        <v>0.3</v>
      </c>
      <c r="K31" s="5"/>
      <c r="L31" s="5">
        <v>0.3</v>
      </c>
    </row>
    <row r="32" spans="1:12">
      <c r="A32" s="4" t="s">
        <v>6</v>
      </c>
      <c r="B32" s="33" t="s">
        <v>13</v>
      </c>
      <c r="C32" s="4"/>
      <c r="D32" s="4" t="s">
        <v>181</v>
      </c>
      <c r="E32" s="4" t="s">
        <v>191</v>
      </c>
      <c r="F32" s="4" t="s">
        <v>91</v>
      </c>
      <c r="G32" s="4" t="s">
        <v>121</v>
      </c>
      <c r="H32" s="4"/>
      <c r="I32" s="4"/>
      <c r="J32" s="5">
        <v>0.5</v>
      </c>
      <c r="K32" s="5"/>
      <c r="L32" s="5">
        <v>0.5</v>
      </c>
    </row>
    <row r="33" spans="1:12">
      <c r="A33" s="4" t="s">
        <v>6</v>
      </c>
      <c r="B33" s="33" t="s">
        <v>15</v>
      </c>
      <c r="C33" s="4"/>
      <c r="D33" s="4" t="s">
        <v>54</v>
      </c>
      <c r="E33" s="4" t="s">
        <v>192</v>
      </c>
      <c r="F33" s="4" t="s">
        <v>134</v>
      </c>
      <c r="G33" s="4"/>
      <c r="H33" s="4" t="s">
        <v>139</v>
      </c>
      <c r="I33" s="4"/>
      <c r="J33" s="5">
        <v>1</v>
      </c>
      <c r="K33" s="5">
        <v>0.5</v>
      </c>
      <c r="L33" s="5">
        <v>0.5</v>
      </c>
    </row>
    <row r="34" spans="1:12">
      <c r="A34" s="4" t="s">
        <v>6</v>
      </c>
      <c r="B34" s="33" t="s">
        <v>15</v>
      </c>
      <c r="C34" s="4"/>
      <c r="D34" s="4" t="s">
        <v>54</v>
      </c>
      <c r="E34" s="4" t="s">
        <v>189</v>
      </c>
      <c r="F34" s="4"/>
      <c r="G34" s="4"/>
      <c r="H34" s="4"/>
      <c r="I34" s="4"/>
      <c r="J34" s="5">
        <v>2.5</v>
      </c>
      <c r="K34" s="5"/>
      <c r="L34" s="5">
        <v>2.5</v>
      </c>
    </row>
    <row r="35" spans="1:12">
      <c r="A35" s="4" t="s">
        <v>6</v>
      </c>
      <c r="B35" s="33" t="s">
        <v>15</v>
      </c>
      <c r="C35" s="4"/>
      <c r="D35" s="4" t="s">
        <v>54</v>
      </c>
      <c r="E35" s="4" t="s">
        <v>190</v>
      </c>
      <c r="F35" s="4"/>
      <c r="G35" s="4"/>
      <c r="H35" s="4"/>
      <c r="I35" s="4"/>
      <c r="J35" s="5">
        <v>1.5</v>
      </c>
      <c r="K35" s="5">
        <v>0.5</v>
      </c>
      <c r="L35" s="5">
        <v>0.75</v>
      </c>
    </row>
    <row r="36" spans="1:12">
      <c r="A36" s="4" t="s">
        <v>6</v>
      </c>
      <c r="B36" s="33" t="s">
        <v>15</v>
      </c>
      <c r="C36" s="4"/>
      <c r="D36" s="4" t="s">
        <v>54</v>
      </c>
      <c r="E36" s="4" t="s">
        <v>193</v>
      </c>
      <c r="F36" s="4"/>
      <c r="G36" s="4"/>
      <c r="H36" s="4"/>
      <c r="I36" s="4"/>
      <c r="J36" s="5">
        <v>1.5</v>
      </c>
      <c r="K36" s="5">
        <v>0.1</v>
      </c>
      <c r="L36" s="5">
        <v>0.15</v>
      </c>
    </row>
    <row r="37" spans="1:12">
      <c r="A37" s="4" t="s">
        <v>6</v>
      </c>
      <c r="B37" s="33" t="s">
        <v>15</v>
      </c>
      <c r="C37" s="4"/>
      <c r="D37" s="4" t="s">
        <v>181</v>
      </c>
      <c r="E37" s="4" t="s">
        <v>194</v>
      </c>
      <c r="F37" s="4" t="s">
        <v>91</v>
      </c>
      <c r="G37" s="4" t="s">
        <v>120</v>
      </c>
      <c r="H37" s="4"/>
      <c r="I37" s="4"/>
      <c r="J37" s="5">
        <v>0.8</v>
      </c>
      <c r="K37" s="5"/>
      <c r="L37" s="5">
        <v>0.8</v>
      </c>
    </row>
    <row r="38" spans="1:12">
      <c r="A38" s="4" t="s">
        <v>6</v>
      </c>
      <c r="B38" s="33" t="s">
        <v>15</v>
      </c>
      <c r="C38" s="4"/>
      <c r="D38" s="4" t="s">
        <v>181</v>
      </c>
      <c r="E38" s="4" t="s">
        <v>194</v>
      </c>
      <c r="F38" s="4" t="s">
        <v>91</v>
      </c>
      <c r="G38" s="4" t="s">
        <v>121</v>
      </c>
      <c r="H38" s="4"/>
      <c r="I38" s="4"/>
      <c r="J38" s="5">
        <v>0.8</v>
      </c>
      <c r="K38" s="5"/>
      <c r="L38" s="5">
        <v>0.8</v>
      </c>
    </row>
    <row r="39" spans="1:12">
      <c r="A39" s="4" t="s">
        <v>6</v>
      </c>
      <c r="B39" s="33" t="s">
        <v>15</v>
      </c>
      <c r="C39" s="4"/>
      <c r="D39" s="4" t="s">
        <v>56</v>
      </c>
      <c r="E39" s="4" t="s">
        <v>195</v>
      </c>
      <c r="F39" s="4"/>
      <c r="G39" s="4"/>
      <c r="H39" s="4"/>
      <c r="I39" s="4"/>
      <c r="J39" s="5">
        <v>0.35</v>
      </c>
      <c r="K39" s="5">
        <v>0.5</v>
      </c>
      <c r="L39" s="5">
        <v>0.175</v>
      </c>
    </row>
    <row r="40" spans="1:12">
      <c r="A40" s="4" t="s">
        <v>6</v>
      </c>
      <c r="B40" s="33" t="s">
        <v>19</v>
      </c>
      <c r="C40" s="4"/>
      <c r="D40" s="4" t="s">
        <v>54</v>
      </c>
      <c r="E40" s="4" t="s">
        <v>196</v>
      </c>
      <c r="F40" s="4" t="s">
        <v>134</v>
      </c>
      <c r="G40" s="4"/>
      <c r="H40" s="4" t="s">
        <v>145</v>
      </c>
      <c r="I40" s="4"/>
      <c r="J40" s="5">
        <v>1.5</v>
      </c>
      <c r="K40" s="5">
        <v>0.5</v>
      </c>
      <c r="L40" s="5">
        <v>0.75</v>
      </c>
    </row>
    <row r="41" spans="1:12">
      <c r="A41" s="4" t="s">
        <v>6</v>
      </c>
      <c r="B41" s="33" t="s">
        <v>19</v>
      </c>
      <c r="C41" s="4"/>
      <c r="D41" s="4" t="s">
        <v>54</v>
      </c>
      <c r="E41" s="4" t="s">
        <v>192</v>
      </c>
      <c r="F41" s="4" t="s">
        <v>134</v>
      </c>
      <c r="G41" s="4"/>
      <c r="H41" s="4" t="s">
        <v>139</v>
      </c>
      <c r="I41" s="4"/>
      <c r="J41" s="5">
        <v>1</v>
      </c>
      <c r="K41" s="5">
        <v>1</v>
      </c>
      <c r="L41" s="5">
        <v>1</v>
      </c>
    </row>
    <row r="42" spans="1:12">
      <c r="A42" s="4" t="s">
        <v>6</v>
      </c>
      <c r="B42" s="33" t="s">
        <v>19</v>
      </c>
      <c r="C42" s="4"/>
      <c r="D42" s="4" t="s">
        <v>54</v>
      </c>
      <c r="E42" s="4" t="s">
        <v>192</v>
      </c>
      <c r="F42" s="4" t="s">
        <v>134</v>
      </c>
      <c r="G42" s="4"/>
      <c r="H42" s="4" t="s">
        <v>139</v>
      </c>
      <c r="I42" s="4"/>
      <c r="J42" s="5">
        <v>1</v>
      </c>
      <c r="K42" s="5">
        <v>0.1</v>
      </c>
      <c r="L42" s="5">
        <v>0.1</v>
      </c>
    </row>
    <row r="43" spans="1:12">
      <c r="A43" s="4" t="s">
        <v>6</v>
      </c>
      <c r="B43" s="33" t="s">
        <v>19</v>
      </c>
      <c r="C43" s="4"/>
      <c r="D43" s="4" t="s">
        <v>54</v>
      </c>
      <c r="E43" s="4" t="s">
        <v>172</v>
      </c>
      <c r="F43" s="4" t="s">
        <v>134</v>
      </c>
      <c r="G43" s="4"/>
      <c r="H43" s="4" t="s">
        <v>145</v>
      </c>
      <c r="I43" s="4"/>
      <c r="J43" s="5">
        <v>1.5</v>
      </c>
      <c r="K43" s="5"/>
      <c r="L43" s="5">
        <v>1.5</v>
      </c>
    </row>
    <row r="44" spans="1:12">
      <c r="A44" s="4" t="s">
        <v>6</v>
      </c>
      <c r="B44" s="33" t="s">
        <v>19</v>
      </c>
      <c r="C44" s="4"/>
      <c r="D44" s="4" t="s">
        <v>54</v>
      </c>
      <c r="E44" s="4" t="s">
        <v>190</v>
      </c>
      <c r="F44" s="4"/>
      <c r="G44" s="4"/>
      <c r="H44" s="4"/>
      <c r="I44" s="4"/>
      <c r="J44" s="5">
        <v>1.5</v>
      </c>
      <c r="K44" s="5">
        <v>0.6</v>
      </c>
      <c r="L44" s="5">
        <v>0.9</v>
      </c>
    </row>
    <row r="45" spans="1:12">
      <c r="A45" s="4" t="s">
        <v>6</v>
      </c>
      <c r="B45" s="33" t="s">
        <v>19</v>
      </c>
      <c r="C45" s="4"/>
      <c r="D45" s="4" t="s">
        <v>54</v>
      </c>
      <c r="E45" s="4" t="s">
        <v>190</v>
      </c>
      <c r="F45" s="4"/>
      <c r="G45" s="4"/>
      <c r="H45" s="4"/>
      <c r="I45" s="4"/>
      <c r="J45" s="5">
        <v>1</v>
      </c>
      <c r="K45" s="5">
        <v>0.1</v>
      </c>
      <c r="L45" s="5">
        <v>0.1</v>
      </c>
    </row>
    <row r="46" spans="1:12">
      <c r="A46" s="4" t="s">
        <v>6</v>
      </c>
      <c r="B46" s="33" t="s">
        <v>19</v>
      </c>
      <c r="C46" s="4"/>
      <c r="D46" s="4" t="s">
        <v>181</v>
      </c>
      <c r="E46" s="4" t="s">
        <v>197</v>
      </c>
      <c r="F46" s="4" t="s">
        <v>91</v>
      </c>
      <c r="G46" s="4" t="s">
        <v>120</v>
      </c>
      <c r="H46" s="4"/>
      <c r="I46" s="4"/>
      <c r="J46" s="5">
        <v>0.35</v>
      </c>
      <c r="K46" s="5"/>
      <c r="L46" s="5">
        <f>J46</f>
        <v>0.35</v>
      </c>
    </row>
    <row r="47" spans="1:12">
      <c r="A47" s="4" t="s">
        <v>6</v>
      </c>
      <c r="B47" s="4" t="s">
        <v>19</v>
      </c>
      <c r="C47" s="4"/>
      <c r="D47" s="4" t="s">
        <v>181</v>
      </c>
      <c r="E47" s="4" t="s">
        <v>197</v>
      </c>
      <c r="F47" s="4" t="s">
        <v>91</v>
      </c>
      <c r="G47" s="4" t="s">
        <v>121</v>
      </c>
      <c r="H47" s="4"/>
      <c r="I47" s="4"/>
      <c r="J47" s="5">
        <v>0.7</v>
      </c>
      <c r="K47" s="5"/>
      <c r="L47" s="5">
        <f>J47</f>
        <v>0.7</v>
      </c>
    </row>
    <row r="48" spans="1:12">
      <c r="A48" s="4" t="s">
        <v>6</v>
      </c>
      <c r="B48" s="33" t="s">
        <v>19</v>
      </c>
      <c r="C48" s="4"/>
      <c r="D48" s="4" t="s">
        <v>181</v>
      </c>
      <c r="E48" s="4" t="s">
        <v>198</v>
      </c>
      <c r="F48" s="4" t="s">
        <v>91</v>
      </c>
      <c r="G48" s="4" t="s">
        <v>120</v>
      </c>
      <c r="H48" s="4"/>
      <c r="I48" s="4"/>
      <c r="J48" s="5">
        <v>0.7</v>
      </c>
      <c r="K48" s="5"/>
      <c r="L48" s="5">
        <f>J48</f>
        <v>0.7</v>
      </c>
    </row>
    <row r="49" spans="1:12">
      <c r="A49" s="4" t="s">
        <v>6</v>
      </c>
      <c r="B49" s="33" t="s">
        <v>19</v>
      </c>
      <c r="C49" s="4"/>
      <c r="D49" s="4" t="s">
        <v>181</v>
      </c>
      <c r="E49" s="4" t="s">
        <v>198</v>
      </c>
      <c r="F49" s="4" t="s">
        <v>91</v>
      </c>
      <c r="G49" s="4" t="s">
        <v>121</v>
      </c>
      <c r="H49" s="4"/>
      <c r="I49" s="4"/>
      <c r="J49" s="5">
        <v>0.7</v>
      </c>
      <c r="K49" s="5"/>
      <c r="L49" s="5">
        <f>J49</f>
        <v>0.7</v>
      </c>
    </row>
    <row r="50" spans="1:12">
      <c r="A50" s="4" t="s">
        <v>6</v>
      </c>
      <c r="B50" s="33" t="s">
        <v>19</v>
      </c>
      <c r="C50" s="4"/>
      <c r="D50" s="4" t="s">
        <v>56</v>
      </c>
      <c r="E50" s="4" t="s">
        <v>199</v>
      </c>
      <c r="F50" s="4"/>
      <c r="G50" s="4"/>
      <c r="H50" s="4"/>
      <c r="I50" s="4"/>
      <c r="J50" s="5">
        <v>0.2</v>
      </c>
      <c r="K50" s="5">
        <v>0.5</v>
      </c>
      <c r="L50" s="5">
        <v>0.1</v>
      </c>
    </row>
    <row r="51" spans="1:12">
      <c r="A51" s="4" t="s">
        <v>6</v>
      </c>
      <c r="B51" s="33" t="s">
        <v>19</v>
      </c>
      <c r="C51" s="4"/>
      <c r="D51" s="4" t="s">
        <v>55</v>
      </c>
      <c r="E51" s="4" t="s">
        <v>178</v>
      </c>
      <c r="F51" s="4"/>
      <c r="G51" s="4"/>
      <c r="H51" s="4"/>
      <c r="I51" s="4"/>
      <c r="J51" s="5">
        <v>1.25</v>
      </c>
      <c r="K51" s="5"/>
      <c r="L51" s="5">
        <v>1.25</v>
      </c>
    </row>
    <row r="52" spans="1:12">
      <c r="A52" s="4" t="s">
        <v>6</v>
      </c>
      <c r="B52" s="33" t="s">
        <v>19</v>
      </c>
      <c r="C52" s="4"/>
      <c r="D52" s="4" t="s">
        <v>55</v>
      </c>
      <c r="E52" s="4" t="s">
        <v>185</v>
      </c>
      <c r="F52" s="4"/>
      <c r="G52" s="4"/>
      <c r="H52" s="4"/>
      <c r="I52" s="4"/>
      <c r="J52" s="5">
        <v>0.5</v>
      </c>
      <c r="K52" s="5"/>
      <c r="L52" s="5">
        <v>0.5</v>
      </c>
    </row>
    <row r="53" spans="1:12">
      <c r="A53" s="4" t="s">
        <v>6</v>
      </c>
      <c r="B53" s="33" t="s">
        <v>19</v>
      </c>
      <c r="C53" s="4"/>
      <c r="D53" s="4" t="s">
        <v>55</v>
      </c>
      <c r="E53" s="4" t="s">
        <v>200</v>
      </c>
      <c r="F53" s="4"/>
      <c r="G53" s="4"/>
      <c r="H53" s="4"/>
      <c r="I53" s="4"/>
      <c r="J53" s="5">
        <v>1</v>
      </c>
      <c r="K53" s="5"/>
      <c r="L53" s="5">
        <v>1</v>
      </c>
    </row>
    <row r="54" spans="1:12">
      <c r="A54" s="4" t="s">
        <v>6</v>
      </c>
      <c r="B54" s="33" t="s">
        <v>20</v>
      </c>
      <c r="C54" s="4"/>
      <c r="D54" s="4" t="s">
        <v>54</v>
      </c>
      <c r="E54" s="4" t="s">
        <v>174</v>
      </c>
      <c r="F54" s="4" t="s">
        <v>168</v>
      </c>
      <c r="G54" s="4"/>
      <c r="H54" s="4" t="s">
        <v>201</v>
      </c>
      <c r="I54" s="4"/>
      <c r="J54" s="5">
        <v>4.5</v>
      </c>
      <c r="K54" s="5">
        <v>0.9</v>
      </c>
      <c r="L54" s="5">
        <v>4.05</v>
      </c>
    </row>
    <row r="55" spans="1:12">
      <c r="A55" s="4" t="s">
        <v>6</v>
      </c>
      <c r="B55" s="33" t="s">
        <v>20</v>
      </c>
      <c r="C55" s="4"/>
      <c r="D55" s="4" t="s">
        <v>54</v>
      </c>
      <c r="E55" s="4" t="s">
        <v>179</v>
      </c>
      <c r="F55" s="4"/>
      <c r="G55" s="4"/>
      <c r="H55" s="4"/>
      <c r="I55" s="4"/>
      <c r="J55" s="5">
        <v>1</v>
      </c>
      <c r="K55" s="5">
        <v>0.8</v>
      </c>
      <c r="L55" s="5">
        <v>0.8</v>
      </c>
    </row>
    <row r="56" spans="1:12">
      <c r="A56" s="4" t="s">
        <v>6</v>
      </c>
      <c r="B56" s="33" t="s">
        <v>20</v>
      </c>
      <c r="C56" s="4"/>
      <c r="D56" s="4" t="s">
        <v>54</v>
      </c>
      <c r="E56" s="4" t="s">
        <v>173</v>
      </c>
      <c r="F56" s="4"/>
      <c r="G56" s="4"/>
      <c r="H56" s="4"/>
      <c r="I56" s="4"/>
      <c r="J56" s="5">
        <v>1</v>
      </c>
      <c r="K56" s="5">
        <v>0.9</v>
      </c>
      <c r="L56" s="5">
        <v>0.9</v>
      </c>
    </row>
    <row r="57" spans="1:12">
      <c r="A57" s="4" t="s">
        <v>6</v>
      </c>
      <c r="B57" s="33" t="s">
        <v>20</v>
      </c>
      <c r="C57" s="4"/>
      <c r="D57" s="4" t="s">
        <v>181</v>
      </c>
      <c r="E57" s="4" t="s">
        <v>202</v>
      </c>
      <c r="F57" s="4" t="s">
        <v>91</v>
      </c>
      <c r="G57" s="4" t="s">
        <v>120</v>
      </c>
      <c r="H57" s="4"/>
      <c r="I57" s="4"/>
      <c r="J57" s="5">
        <v>0.7</v>
      </c>
      <c r="K57" s="5"/>
      <c r="L57" s="5">
        <v>0.7</v>
      </c>
    </row>
    <row r="58" spans="1:12">
      <c r="A58" s="4" t="s">
        <v>6</v>
      </c>
      <c r="B58" s="33" t="s">
        <v>20</v>
      </c>
      <c r="C58" s="4"/>
      <c r="D58" s="4" t="s">
        <v>181</v>
      </c>
      <c r="E58" s="4" t="s">
        <v>202</v>
      </c>
      <c r="F58" s="4" t="s">
        <v>91</v>
      </c>
      <c r="G58" s="4" t="s">
        <v>121</v>
      </c>
      <c r="H58" s="4"/>
      <c r="I58" s="4"/>
      <c r="J58" s="5">
        <v>0.7</v>
      </c>
      <c r="K58" s="5"/>
      <c r="L58" s="5">
        <v>0.7</v>
      </c>
    </row>
    <row r="59" spans="1:12">
      <c r="A59" s="4" t="s">
        <v>6</v>
      </c>
      <c r="B59" s="33" t="s">
        <v>20</v>
      </c>
      <c r="C59" s="4"/>
      <c r="D59" s="4" t="s">
        <v>181</v>
      </c>
      <c r="E59" s="4" t="s">
        <v>203</v>
      </c>
      <c r="F59" s="4" t="s">
        <v>91</v>
      </c>
      <c r="G59" s="4" t="s">
        <v>120</v>
      </c>
      <c r="H59" s="4"/>
      <c r="I59" s="4"/>
      <c r="J59" s="5">
        <v>0.25</v>
      </c>
      <c r="K59" s="5"/>
      <c r="L59" s="5">
        <f>J59</f>
        <v>0.25</v>
      </c>
    </row>
    <row r="60" spans="1:12">
      <c r="A60" s="4" t="s">
        <v>6</v>
      </c>
      <c r="B60" s="4" t="s">
        <v>20</v>
      </c>
      <c r="C60" s="4"/>
      <c r="D60" s="4" t="s">
        <v>181</v>
      </c>
      <c r="E60" s="4" t="s">
        <v>203</v>
      </c>
      <c r="F60" s="4" t="s">
        <v>91</v>
      </c>
      <c r="G60" s="4" t="s">
        <v>121</v>
      </c>
      <c r="H60" s="4"/>
      <c r="I60" s="4"/>
      <c r="J60" s="5">
        <v>0.5</v>
      </c>
      <c r="K60" s="5"/>
      <c r="L60" s="5">
        <f>J60</f>
        <v>0.5</v>
      </c>
    </row>
    <row r="61" spans="1:12">
      <c r="A61" s="4" t="s">
        <v>6</v>
      </c>
      <c r="B61" s="33" t="s">
        <v>20</v>
      </c>
      <c r="C61" s="4"/>
      <c r="D61" s="4" t="s">
        <v>55</v>
      </c>
      <c r="E61" s="4" t="s">
        <v>178</v>
      </c>
      <c r="F61" s="4"/>
      <c r="G61" s="4"/>
      <c r="H61" s="4"/>
      <c r="I61" s="4"/>
      <c r="J61" s="5">
        <v>0.868</v>
      </c>
      <c r="K61" s="5"/>
      <c r="L61" s="5">
        <v>0.868</v>
      </c>
    </row>
    <row r="62" spans="1:12">
      <c r="A62" s="4" t="s">
        <v>6</v>
      </c>
      <c r="B62" s="33" t="s">
        <v>20</v>
      </c>
      <c r="C62" s="4"/>
      <c r="D62" s="4" t="s">
        <v>55</v>
      </c>
      <c r="E62" s="4" t="s">
        <v>204</v>
      </c>
      <c r="F62" s="4"/>
      <c r="G62" s="4"/>
      <c r="H62" s="4"/>
      <c r="I62" s="4"/>
      <c r="J62" s="5">
        <v>0.5</v>
      </c>
      <c r="K62" s="5"/>
      <c r="L62" s="5">
        <v>0.5</v>
      </c>
    </row>
    <row r="63" spans="1:12">
      <c r="A63" s="4" t="s">
        <v>6</v>
      </c>
      <c r="B63" s="33" t="s">
        <v>21</v>
      </c>
      <c r="C63" s="4"/>
      <c r="D63" s="4" t="s">
        <v>181</v>
      </c>
      <c r="E63" s="4" t="s">
        <v>205</v>
      </c>
      <c r="F63" s="4" t="s">
        <v>75</v>
      </c>
      <c r="G63" s="4" t="s">
        <v>120</v>
      </c>
      <c r="H63" s="4"/>
      <c r="I63" s="4"/>
      <c r="J63" s="5">
        <v>0.15</v>
      </c>
      <c r="K63" s="5"/>
      <c r="L63" s="5">
        <f>J63</f>
        <v>0.15</v>
      </c>
    </row>
    <row r="64" spans="1:12">
      <c r="A64" s="4" t="s">
        <v>6</v>
      </c>
      <c r="B64" s="4" t="s">
        <v>21</v>
      </c>
      <c r="C64" s="4"/>
      <c r="D64" s="4" t="s">
        <v>181</v>
      </c>
      <c r="E64" s="4" t="s">
        <v>205</v>
      </c>
      <c r="F64" s="4" t="s">
        <v>75</v>
      </c>
      <c r="G64" s="4" t="s">
        <v>121</v>
      </c>
      <c r="H64" s="4"/>
      <c r="I64" s="4"/>
      <c r="J64" s="5">
        <v>0.3</v>
      </c>
      <c r="K64" s="5"/>
      <c r="L64" s="5">
        <f>J64</f>
        <v>0.3</v>
      </c>
    </row>
    <row r="65" spans="1:12">
      <c r="A65" s="4" t="s">
        <v>6</v>
      </c>
      <c r="B65" s="33" t="s">
        <v>22</v>
      </c>
      <c r="C65" s="4"/>
      <c r="D65" s="4" t="s">
        <v>55</v>
      </c>
      <c r="E65" s="4" t="s">
        <v>206</v>
      </c>
      <c r="F65" s="4"/>
      <c r="G65" s="4"/>
      <c r="H65" s="4"/>
      <c r="I65" s="4"/>
      <c r="J65" s="5">
        <v>0.75</v>
      </c>
      <c r="K65" s="5"/>
      <c r="L65" s="5">
        <v>0.75</v>
      </c>
    </row>
    <row r="66" spans="1:12">
      <c r="A66" s="4" t="s">
        <v>6</v>
      </c>
      <c r="B66" s="33" t="s">
        <v>22</v>
      </c>
      <c r="C66" s="4"/>
      <c r="D66" s="4" t="s">
        <v>55</v>
      </c>
      <c r="E66" s="4" t="s">
        <v>185</v>
      </c>
      <c r="F66" s="4"/>
      <c r="G66" s="4"/>
      <c r="H66" s="4"/>
      <c r="I66" s="4"/>
      <c r="J66" s="5">
        <v>0.5</v>
      </c>
      <c r="K66" s="5"/>
      <c r="L66" s="5">
        <v>0.5</v>
      </c>
    </row>
    <row r="67" spans="1:12">
      <c r="A67" s="4" t="s">
        <v>6</v>
      </c>
      <c r="B67" s="33" t="s">
        <v>23</v>
      </c>
      <c r="C67" s="4"/>
      <c r="D67" s="4" t="s">
        <v>55</v>
      </c>
      <c r="E67" s="4" t="s">
        <v>178</v>
      </c>
      <c r="F67" s="4"/>
      <c r="G67" s="4"/>
      <c r="H67" s="4"/>
      <c r="I67" s="4"/>
      <c r="J67" s="5">
        <v>0.9183</v>
      </c>
      <c r="K67" s="5"/>
      <c r="L67" s="5">
        <v>0.9183</v>
      </c>
    </row>
    <row r="68" spans="1:12">
      <c r="A68" s="4" t="s">
        <v>6</v>
      </c>
      <c r="B68" s="33" t="s">
        <v>25</v>
      </c>
      <c r="C68" s="4"/>
      <c r="D68" s="4" t="s">
        <v>54</v>
      </c>
      <c r="E68" s="4" t="s">
        <v>174</v>
      </c>
      <c r="F68" s="4" t="s">
        <v>168</v>
      </c>
      <c r="G68" s="4"/>
      <c r="H68" s="4" t="s">
        <v>201</v>
      </c>
      <c r="I68" s="4"/>
      <c r="J68" s="5">
        <v>4.5</v>
      </c>
      <c r="K68" s="5">
        <v>0.9</v>
      </c>
      <c r="L68" s="5">
        <v>4.05</v>
      </c>
    </row>
    <row r="69" spans="1:12">
      <c r="A69" s="4" t="s">
        <v>6</v>
      </c>
      <c r="B69" s="33" t="s">
        <v>25</v>
      </c>
      <c r="C69" s="4"/>
      <c r="D69" s="4" t="s">
        <v>54</v>
      </c>
      <c r="E69" s="4" t="s">
        <v>180</v>
      </c>
      <c r="F69" s="4"/>
      <c r="G69" s="4"/>
      <c r="H69" s="4"/>
      <c r="I69" s="4"/>
      <c r="J69" s="5">
        <v>3.5</v>
      </c>
      <c r="K69" s="5">
        <v>0.9</v>
      </c>
      <c r="L69" s="5">
        <v>3.15</v>
      </c>
    </row>
    <row r="70" spans="1:12">
      <c r="A70" s="4" t="s">
        <v>6</v>
      </c>
      <c r="B70" s="33" t="s">
        <v>25</v>
      </c>
      <c r="C70" s="4"/>
      <c r="D70" s="4" t="s">
        <v>54</v>
      </c>
      <c r="E70" s="4" t="s">
        <v>207</v>
      </c>
      <c r="F70" s="4"/>
      <c r="G70" s="4"/>
      <c r="H70" s="4"/>
      <c r="I70" s="4"/>
      <c r="J70" s="5">
        <v>2</v>
      </c>
      <c r="K70" s="5">
        <v>0.9</v>
      </c>
      <c r="L70" s="5">
        <v>1.8</v>
      </c>
    </row>
    <row r="71" spans="1:12">
      <c r="A71" s="4" t="s">
        <v>6</v>
      </c>
      <c r="B71" s="33" t="s">
        <v>25</v>
      </c>
      <c r="C71" s="4"/>
      <c r="D71" s="4" t="s">
        <v>181</v>
      </c>
      <c r="E71" s="4" t="s">
        <v>208</v>
      </c>
      <c r="F71" s="4" t="s">
        <v>91</v>
      </c>
      <c r="G71" s="4" t="s">
        <v>120</v>
      </c>
      <c r="H71" s="4"/>
      <c r="I71" s="4"/>
      <c r="J71" s="5">
        <v>0.25</v>
      </c>
      <c r="K71" s="5"/>
      <c r="L71" s="5">
        <f>J71</f>
        <v>0.25</v>
      </c>
    </row>
    <row r="72" spans="1:12">
      <c r="A72" s="4" t="s">
        <v>6</v>
      </c>
      <c r="B72" s="4" t="s">
        <v>25</v>
      </c>
      <c r="C72" s="4"/>
      <c r="D72" s="4" t="s">
        <v>181</v>
      </c>
      <c r="E72" s="4" t="s">
        <v>208</v>
      </c>
      <c r="F72" s="4" t="s">
        <v>91</v>
      </c>
      <c r="G72" s="4" t="s">
        <v>121</v>
      </c>
      <c r="H72" s="4"/>
      <c r="I72" s="4"/>
      <c r="J72" s="5">
        <v>0.5</v>
      </c>
      <c r="K72" s="5"/>
      <c r="L72" s="5">
        <f>J72</f>
        <v>0.5</v>
      </c>
    </row>
    <row r="73" spans="1:12">
      <c r="A73" s="4" t="s">
        <v>6</v>
      </c>
      <c r="B73" s="33" t="s">
        <v>25</v>
      </c>
      <c r="C73" s="4"/>
      <c r="D73" s="4" t="s">
        <v>55</v>
      </c>
      <c r="E73" s="4" t="s">
        <v>178</v>
      </c>
      <c r="F73" s="4"/>
      <c r="G73" s="4"/>
      <c r="H73" s="4"/>
      <c r="I73" s="4"/>
      <c r="J73" s="5">
        <v>0.471</v>
      </c>
      <c r="K73" s="5"/>
      <c r="L73" s="5">
        <v>0.471</v>
      </c>
    </row>
    <row r="74" spans="1:12">
      <c r="A74" s="4" t="s">
        <v>6</v>
      </c>
      <c r="B74" s="33" t="s">
        <v>26</v>
      </c>
      <c r="C74" s="4"/>
      <c r="D74" s="4" t="s">
        <v>55</v>
      </c>
      <c r="E74" s="4" t="s">
        <v>209</v>
      </c>
      <c r="F74" s="4"/>
      <c r="G74" s="4"/>
      <c r="H74" s="4"/>
      <c r="I74" s="4"/>
      <c r="J74" s="5">
        <v>0.6</v>
      </c>
      <c r="K74" s="5"/>
      <c r="L74" s="5">
        <v>0.6</v>
      </c>
    </row>
    <row r="75" spans="1:12">
      <c r="A75" s="4" t="s">
        <v>6</v>
      </c>
      <c r="B75" s="33" t="s">
        <v>28</v>
      </c>
      <c r="C75" s="4"/>
      <c r="D75" s="4" t="s">
        <v>55</v>
      </c>
      <c r="E75" s="4" t="s">
        <v>178</v>
      </c>
      <c r="F75" s="4"/>
      <c r="G75" s="4"/>
      <c r="H75" s="4"/>
      <c r="I75" s="4"/>
      <c r="J75" s="5">
        <v>432</v>
      </c>
      <c r="K75" s="5"/>
      <c r="L75" s="5">
        <f>J75/600</f>
        <v>0.72</v>
      </c>
    </row>
    <row r="76" spans="1:12">
      <c r="A76" s="4" t="s">
        <v>6</v>
      </c>
      <c r="B76" s="33" t="s">
        <v>29</v>
      </c>
      <c r="C76" s="4"/>
      <c r="D76" s="4" t="s">
        <v>181</v>
      </c>
      <c r="E76" s="4" t="s">
        <v>210</v>
      </c>
      <c r="F76" s="4" t="s">
        <v>91</v>
      </c>
      <c r="G76" s="4" t="s">
        <v>120</v>
      </c>
      <c r="H76" s="4"/>
      <c r="I76" s="4"/>
      <c r="J76" s="5">
        <v>0.7</v>
      </c>
      <c r="K76" s="5"/>
      <c r="L76" s="5">
        <v>0.7</v>
      </c>
    </row>
    <row r="77" spans="1:12">
      <c r="A77" s="4" t="s">
        <v>6</v>
      </c>
      <c r="B77" s="33" t="s">
        <v>29</v>
      </c>
      <c r="C77" s="4"/>
      <c r="D77" s="4" t="s">
        <v>181</v>
      </c>
      <c r="E77" s="4" t="s">
        <v>210</v>
      </c>
      <c r="F77" s="4" t="s">
        <v>91</v>
      </c>
      <c r="G77" s="4" t="s">
        <v>121</v>
      </c>
      <c r="H77" s="4"/>
      <c r="I77" s="4"/>
      <c r="J77" s="5">
        <v>0.7</v>
      </c>
      <c r="K77" s="5"/>
      <c r="L77" s="5">
        <v>0.7</v>
      </c>
    </row>
    <row r="78" spans="1:12">
      <c r="A78" s="4" t="s">
        <v>6</v>
      </c>
      <c r="B78" s="33" t="s">
        <v>29</v>
      </c>
      <c r="C78" s="4"/>
      <c r="D78" s="4" t="s">
        <v>56</v>
      </c>
      <c r="E78" s="4" t="s">
        <v>211</v>
      </c>
      <c r="F78" s="4"/>
      <c r="G78" s="4"/>
      <c r="H78" s="4"/>
      <c r="I78" s="4"/>
      <c r="J78" s="5">
        <v>0.35</v>
      </c>
      <c r="K78" s="5">
        <v>0.5</v>
      </c>
      <c r="L78" s="5">
        <v>0.175</v>
      </c>
    </row>
    <row r="79" spans="1:12">
      <c r="A79" s="4" t="s">
        <v>6</v>
      </c>
      <c r="B79" s="33" t="s">
        <v>30</v>
      </c>
      <c r="C79" s="4"/>
      <c r="D79" s="4" t="s">
        <v>54</v>
      </c>
      <c r="E79" s="4" t="s">
        <v>173</v>
      </c>
      <c r="F79" s="4"/>
      <c r="G79" s="4"/>
      <c r="H79" s="4"/>
      <c r="I79" s="4"/>
      <c r="J79" s="5">
        <v>1</v>
      </c>
      <c r="K79" s="5">
        <v>0.9</v>
      </c>
      <c r="L79" s="5">
        <v>0.9</v>
      </c>
    </row>
    <row r="80" spans="1:12">
      <c r="A80" s="4" t="s">
        <v>6</v>
      </c>
      <c r="B80" s="33" t="s">
        <v>30</v>
      </c>
      <c r="C80" s="4"/>
      <c r="D80" s="4" t="s">
        <v>55</v>
      </c>
      <c r="E80" s="4" t="s">
        <v>178</v>
      </c>
      <c r="F80" s="4"/>
      <c r="G80" s="4"/>
      <c r="H80" s="4"/>
      <c r="I80" s="4"/>
      <c r="J80" s="5">
        <v>0.81</v>
      </c>
      <c r="K80" s="5"/>
      <c r="L80" s="5">
        <v>0.81</v>
      </c>
    </row>
    <row r="81" spans="1:12">
      <c r="A81" s="4" t="s">
        <v>6</v>
      </c>
      <c r="B81" s="33" t="s">
        <v>30</v>
      </c>
      <c r="C81" s="4"/>
      <c r="D81" s="4" t="s">
        <v>55</v>
      </c>
      <c r="E81" s="4" t="s">
        <v>212</v>
      </c>
      <c r="F81" s="4"/>
      <c r="G81" s="4"/>
      <c r="H81" s="4"/>
      <c r="I81" s="4"/>
      <c r="J81" s="5">
        <v>0.75</v>
      </c>
      <c r="K81" s="5"/>
      <c r="L81" s="5">
        <v>0.75</v>
      </c>
    </row>
  </sheetData>
  <autoFilter xmlns:etc="http://www.wps.cn/officeDocument/2017/etCustomData" ref="A1:L81" etc:filterBottomFollowUsedRange="0">
    <extLst/>
  </autoFilter>
  <sortState ref="A2:L81">
    <sortCondition ref="B2:B81"/>
    <sortCondition ref="D2:D81"/>
    <sortCondition ref="E2:E81"/>
    <sortCondition ref="G2:G81"/>
  </sortState>
  <dataValidations count="2">
    <dataValidation allowBlank="1" showInputMessage="1" showErrorMessage="1" sqref="D1:E1 E79 E2:E75 E81:E1048576"/>
    <dataValidation type="list" allowBlank="1" showInputMessage="1" showErrorMessage="1" sqref="D2:D1048576">
      <formula1>"创新创业素质,水平考试,社会实践,社会工作能力（工作表现）"</formula1>
    </dataValidation>
  </dataValidations>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
 < w o P r o p s   x m l n s : s = " h t t p : / / s c h e m a s . o p e n x m l f o r m a t s . o r g / s p r e a d s h e e t m l / 2 0 0 6 / m a i n "   x m l n s = " h t t p s : / / w e b . w p s . c n / e t / 2 0 1 8 / m a i n " > 
   < w o S h e e t s P r o p s > 
     < w o S h e e t P r o p s   i n t e r l i n e C o l o r = " 0 "   i s D b S h e e t = " 0 "   i n t e r l i n e O n O f f = " 0 "   s h e e t S t i d = " 1 "   i s D a s h B o a r d S h e e t = " 0 " > 
       < c e l l p r o t e c t i o n / > 
     < / w o S h e e t P r o p s > 
   < / w o S h e e t s P r o p s > 
   < w o B o o k P r o p s > 
     < b o o k S e t t i n g s   i s M e r g e T a s k s A u t o U p d a t e = " 0 "   i s A u t o U p d a t e P a u s e d = " 0 "   i s I n s e r P i c A s A t t a c h m e n t = " 0 "   i s F i l t e r S h a r e d = " 1 "   f i l t e r T y p e = " c o n n "   c o r e C o n q u e r U s e r I d = " " / > 
   < / w o B o o k P r o p s > 
 < / w o P r o p s > 
 
</file>

<file path=customXml/item2.xml>��< ? x m l   v e r s i o n = ' 1 . 0 '   s t a n d a l o n e = ' y e s ' ? > 
 < p i x e l a t o r s   x m l n s : s = " h t t p : / / s c h e m a s . o p e n x m l f o r m a t s . o r g / s p r e a d s h e e t m l / 2 0 0 6 / m a i n "   x m l n s = " h t t p s : / / w e b . w p s . c n / e t / 2 0 1 8 / m a i n " > 
   < p i x e l a t o r L i s t   s h e e t S t i d = " 1 " / > 
   < p i x e l a t o r L i s t   s h e e t S t i d = " 2 " / > 
 < / p i x e l a t o r s > 
 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总分表</vt:lpstr>
      <vt:lpstr>计分表</vt:lpstr>
      <vt:lpstr>德育素质</vt:lpstr>
      <vt:lpstr>智育素质</vt:lpstr>
      <vt:lpstr>体育素质</vt:lpstr>
      <vt:lpstr>美育素质</vt:lpstr>
      <vt:lpstr>劳育素质</vt:lpstr>
      <vt:lpstr>创新与实践素质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64859</dc:creator>
  <cp:lastModifiedBy>Give up.</cp:lastModifiedBy>
  <dcterms:created xsi:type="dcterms:W3CDTF">2020-08-09T13:48:00Z</dcterms:created>
  <dcterms:modified xsi:type="dcterms:W3CDTF">2025-09-30T12:33:29Z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2052-12.1.22553.22553</vt:lpwstr>
  </property>
  <property fmtid="{D5CDD505-2E9C-101B-9397-08002B2CF9AE}" pid="3" name="ICV">
    <vt:lpwstr>12A2D81457E8236D995DDB68F19AEE0F_43</vt:lpwstr>
  </property>
</Properties>
</file>