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D:\醯兮\组织部\2024-2025综测\22级综合测评分\"/>
    </mc:Choice>
  </mc:AlternateContent>
  <xr:revisionPtr revIDLastSave="0" documentId="13_ncr:1_{C0122D25-5E59-4746-B9F2-B8A2D2D1FE95}" xr6:coauthVersionLast="47" xr6:coauthVersionMax="47" xr10:uidLastSave="{00000000-0000-0000-0000-000000000000}"/>
  <bookViews>
    <workbookView xWindow="-98" yWindow="-98" windowWidth="23236" windowHeight="13875" xr2:uid="{00000000-000D-0000-FFFF-FFFF00000000}"/>
  </bookViews>
  <sheets>
    <sheet name="总分表" sheetId="4" r:id="rId1"/>
    <sheet name="计分表" sheetId="3" r:id="rId2"/>
    <sheet name="德育素质" sheetId="2" r:id="rId3"/>
    <sheet name="智育素质" sheetId="5" r:id="rId4"/>
    <sheet name="体育素质" sheetId="7" r:id="rId5"/>
    <sheet name="美育素质" sheetId="8" r:id="rId6"/>
    <sheet name="劳育素质" sheetId="10" r:id="rId7"/>
    <sheet name="创新与实践素质" sheetId="9" r:id="rId8"/>
  </sheets>
  <definedNames>
    <definedName name="_xlnm._FilterDatabase" localSheetId="7" hidden="1">创新与实践素质!$A$1:$L$48</definedName>
    <definedName name="_xlnm._FilterDatabase" localSheetId="2" hidden="1">德育素质!$A$1:$H$26</definedName>
    <definedName name="_xlnm._FilterDatabase" localSheetId="6" hidden="1">劳育素质!$A$1:$K$37</definedName>
    <definedName name="_xlnm._FilterDatabase" localSheetId="4" hidden="1">体育素质!$A$1:$L$76</definedName>
    <definedName name="_xlnm._FilterDatabase" localSheetId="0" hidden="1">总分表!$B:$B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3" l="1"/>
  <c r="K8" i="3"/>
  <c r="K9" i="3"/>
  <c r="K10" i="3"/>
  <c r="K11" i="3"/>
  <c r="F19" i="4"/>
  <c r="K13" i="3"/>
  <c r="K14" i="3"/>
  <c r="K15" i="3"/>
  <c r="K16" i="3"/>
  <c r="K17" i="3"/>
  <c r="K18" i="3"/>
  <c r="F18" i="4"/>
  <c r="K21" i="3"/>
  <c r="L22" i="9"/>
  <c r="K36" i="10"/>
  <c r="K34" i="10"/>
  <c r="K32" i="10"/>
  <c r="K30" i="10"/>
  <c r="K28" i="10"/>
  <c r="K26" i="10"/>
  <c r="K24" i="10"/>
  <c r="K22" i="10"/>
  <c r="K20" i="10"/>
  <c r="K18" i="10"/>
  <c r="K16" i="10"/>
  <c r="K14" i="10"/>
  <c r="K12" i="10"/>
  <c r="K10" i="10"/>
  <c r="K8" i="10"/>
  <c r="K6" i="10"/>
  <c r="K4" i="10"/>
  <c r="K2" i="10"/>
  <c r="L76" i="7"/>
  <c r="L75" i="7"/>
  <c r="L72" i="7"/>
  <c r="L71" i="7"/>
  <c r="L68" i="7"/>
  <c r="L67" i="7"/>
  <c r="L64" i="7"/>
  <c r="L63" i="7"/>
  <c r="L60" i="7"/>
  <c r="L59" i="7"/>
  <c r="L56" i="7"/>
  <c r="L55" i="7"/>
  <c r="L52" i="7"/>
  <c r="L51" i="7"/>
  <c r="L48" i="7"/>
  <c r="L47" i="7"/>
  <c r="L44" i="7"/>
  <c r="L43" i="7"/>
  <c r="L39" i="7"/>
  <c r="L38" i="7"/>
  <c r="L35" i="7"/>
  <c r="L34" i="7"/>
  <c r="L31" i="7"/>
  <c r="L30" i="7"/>
  <c r="L27" i="7"/>
  <c r="L26" i="7"/>
  <c r="L25" i="7"/>
  <c r="L24" i="7"/>
  <c r="L21" i="7"/>
  <c r="L20" i="7"/>
  <c r="L17" i="7"/>
  <c r="L16" i="7"/>
  <c r="L13" i="7"/>
  <c r="L12" i="7"/>
  <c r="L9" i="7"/>
  <c r="L8" i="7"/>
  <c r="L5" i="7"/>
  <c r="L4" i="7"/>
  <c r="AD21" i="3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M21" i="3"/>
  <c r="L21" i="3"/>
  <c r="J21" i="3"/>
  <c r="I21" i="3"/>
  <c r="H21" i="3"/>
  <c r="G21" i="3"/>
  <c r="F21" i="3"/>
  <c r="E21" i="3"/>
  <c r="D21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J20" i="3"/>
  <c r="I20" i="3"/>
  <c r="H20" i="3"/>
  <c r="G20" i="3"/>
  <c r="F20" i="3"/>
  <c r="E20" i="3"/>
  <c r="D20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J19" i="3"/>
  <c r="I19" i="3"/>
  <c r="H19" i="3"/>
  <c r="G19" i="3"/>
  <c r="F19" i="3"/>
  <c r="E19" i="3"/>
  <c r="D19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J18" i="3"/>
  <c r="I18" i="3"/>
  <c r="H18" i="3"/>
  <c r="G18" i="3"/>
  <c r="F18" i="3"/>
  <c r="E18" i="3"/>
  <c r="D18" i="3"/>
  <c r="AD17" i="3"/>
  <c r="AC17" i="3"/>
  <c r="AB17" i="3"/>
  <c r="AA17" i="3"/>
  <c r="Z17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J17" i="3"/>
  <c r="I17" i="3"/>
  <c r="H17" i="3"/>
  <c r="G17" i="3"/>
  <c r="F17" i="3"/>
  <c r="E17" i="3"/>
  <c r="D17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P16" i="3"/>
  <c r="O16" i="3"/>
  <c r="N16" i="3"/>
  <c r="M16" i="3"/>
  <c r="L16" i="3"/>
  <c r="J16" i="3"/>
  <c r="I16" i="3"/>
  <c r="H16" i="3"/>
  <c r="G16" i="3"/>
  <c r="F16" i="3"/>
  <c r="E16" i="3"/>
  <c r="D16" i="3"/>
  <c r="AD15" i="3"/>
  <c r="AC15" i="3"/>
  <c r="AB15" i="3"/>
  <c r="AA15" i="3"/>
  <c r="Z15" i="3"/>
  <c r="Y15" i="3"/>
  <c r="X15" i="3"/>
  <c r="W15" i="3"/>
  <c r="V15" i="3"/>
  <c r="U15" i="3"/>
  <c r="T15" i="3"/>
  <c r="S15" i="3"/>
  <c r="R15" i="3"/>
  <c r="Q15" i="3"/>
  <c r="P15" i="3"/>
  <c r="O15" i="3"/>
  <c r="N15" i="3"/>
  <c r="M15" i="3"/>
  <c r="L15" i="3"/>
  <c r="J15" i="3"/>
  <c r="I15" i="3"/>
  <c r="H15" i="3"/>
  <c r="G15" i="3"/>
  <c r="F15" i="3"/>
  <c r="E15" i="3"/>
  <c r="D15" i="3"/>
  <c r="AD14" i="3"/>
  <c r="AC14" i="3"/>
  <c r="AB14" i="3"/>
  <c r="AA14" i="3"/>
  <c r="Z14" i="3"/>
  <c r="Y14" i="3"/>
  <c r="X14" i="3"/>
  <c r="W14" i="3"/>
  <c r="V14" i="3"/>
  <c r="U14" i="3"/>
  <c r="T14" i="3"/>
  <c r="S14" i="3"/>
  <c r="R14" i="3"/>
  <c r="Q14" i="3"/>
  <c r="P14" i="3"/>
  <c r="O14" i="3"/>
  <c r="N14" i="3"/>
  <c r="M14" i="3"/>
  <c r="L14" i="3"/>
  <c r="J14" i="3"/>
  <c r="I14" i="3"/>
  <c r="H14" i="3"/>
  <c r="G14" i="3"/>
  <c r="F14" i="3"/>
  <c r="E14" i="3"/>
  <c r="D14" i="3"/>
  <c r="AD13" i="3"/>
  <c r="AC13" i="3"/>
  <c r="AB13" i="3"/>
  <c r="AA13" i="3"/>
  <c r="Z13" i="3"/>
  <c r="Y13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J13" i="3"/>
  <c r="I13" i="3"/>
  <c r="H13" i="3"/>
  <c r="G13" i="3"/>
  <c r="F13" i="3"/>
  <c r="E13" i="3"/>
  <c r="D13" i="3"/>
  <c r="AD12" i="3"/>
  <c r="AC12" i="3"/>
  <c r="AB12" i="3"/>
  <c r="AA12" i="3"/>
  <c r="Z12" i="3"/>
  <c r="Y12" i="3"/>
  <c r="X12" i="3"/>
  <c r="W12" i="3"/>
  <c r="V12" i="3"/>
  <c r="U12" i="3"/>
  <c r="T1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AD11" i="3"/>
  <c r="AC11" i="3"/>
  <c r="AB11" i="3"/>
  <c r="AA11" i="3"/>
  <c r="Z11" i="3"/>
  <c r="Y11" i="3"/>
  <c r="X11" i="3"/>
  <c r="W11" i="3"/>
  <c r="V11" i="3"/>
  <c r="U11" i="3"/>
  <c r="T11" i="3"/>
  <c r="S11" i="3"/>
  <c r="R11" i="3"/>
  <c r="Q11" i="3"/>
  <c r="P11" i="3"/>
  <c r="O11" i="3"/>
  <c r="N11" i="3"/>
  <c r="M11" i="3"/>
  <c r="L11" i="3"/>
  <c r="J11" i="3"/>
  <c r="I11" i="3"/>
  <c r="H11" i="3"/>
  <c r="G11" i="3"/>
  <c r="F11" i="3"/>
  <c r="E11" i="3"/>
  <c r="D11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J10" i="3"/>
  <c r="I10" i="3"/>
  <c r="H10" i="3"/>
  <c r="G10" i="3"/>
  <c r="F10" i="3"/>
  <c r="E10" i="3"/>
  <c r="D10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J9" i="3"/>
  <c r="I9" i="3"/>
  <c r="H9" i="3"/>
  <c r="G9" i="3"/>
  <c r="F9" i="3"/>
  <c r="E9" i="3"/>
  <c r="D9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J8" i="3"/>
  <c r="I8" i="3"/>
  <c r="H8" i="3"/>
  <c r="G8" i="3"/>
  <c r="F8" i="3"/>
  <c r="E8" i="3"/>
  <c r="D8" i="3"/>
  <c r="AD7" i="3"/>
  <c r="AC7" i="3"/>
  <c r="AB7" i="3"/>
  <c r="AA7" i="3"/>
  <c r="Z7" i="3"/>
  <c r="Y7" i="3"/>
  <c r="X7" i="3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AD6" i="3"/>
  <c r="AC6" i="3"/>
  <c r="AB6" i="3"/>
  <c r="AA6" i="3"/>
  <c r="Z6" i="3"/>
  <c r="Y6" i="3"/>
  <c r="X6" i="3"/>
  <c r="W6" i="3"/>
  <c r="V6" i="3"/>
  <c r="U6" i="3"/>
  <c r="T6" i="3"/>
  <c r="S6" i="3"/>
  <c r="R6" i="3"/>
  <c r="Q6" i="3"/>
  <c r="P6" i="3"/>
  <c r="O6" i="3"/>
  <c r="N6" i="3"/>
  <c r="M6" i="3"/>
  <c r="L6" i="3"/>
  <c r="J6" i="3"/>
  <c r="I6" i="3"/>
  <c r="H6" i="3"/>
  <c r="G6" i="3"/>
  <c r="F6" i="3"/>
  <c r="E6" i="3"/>
  <c r="D6" i="3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P5" i="3"/>
  <c r="O5" i="3"/>
  <c r="N5" i="3"/>
  <c r="M5" i="3"/>
  <c r="L5" i="3"/>
  <c r="K5" i="3"/>
  <c r="J5" i="3"/>
  <c r="I5" i="3"/>
  <c r="H5" i="3"/>
  <c r="G5" i="3"/>
  <c r="F5" i="3"/>
  <c r="E5" i="3"/>
  <c r="D5" i="3"/>
  <c r="AD4" i="3"/>
  <c r="AC4" i="3"/>
  <c r="AB4" i="3"/>
  <c r="AA4" i="3"/>
  <c r="Z4" i="3"/>
  <c r="Y4" i="3"/>
  <c r="X4" i="3"/>
  <c r="W4" i="3"/>
  <c r="V4" i="3"/>
  <c r="U4" i="3"/>
  <c r="T4" i="3"/>
  <c r="S4" i="3"/>
  <c r="R4" i="3"/>
  <c r="Q4" i="3"/>
  <c r="P4" i="3"/>
  <c r="O4" i="3"/>
  <c r="N4" i="3"/>
  <c r="M4" i="3"/>
  <c r="L4" i="3"/>
  <c r="J4" i="3"/>
  <c r="I4" i="3"/>
  <c r="H4" i="3"/>
  <c r="G4" i="3"/>
  <c r="F4" i="3"/>
  <c r="E4" i="3"/>
  <c r="D4" i="3"/>
  <c r="F9" i="4" l="1"/>
  <c r="F16" i="4"/>
  <c r="F17" i="4"/>
  <c r="K20" i="3"/>
  <c r="F13" i="4"/>
  <c r="F14" i="4"/>
  <c r="K19" i="3"/>
  <c r="F15" i="4"/>
  <c r="F12" i="4"/>
  <c r="F3" i="4"/>
  <c r="F4" i="4"/>
  <c r="F2" i="4"/>
  <c r="F5" i="4"/>
  <c r="K4" i="3"/>
  <c r="F6" i="4"/>
  <c r="F7" i="4"/>
  <c r="F8" i="4"/>
  <c r="F10" i="4"/>
  <c r="F11" i="4"/>
  <c r="AE9" i="3"/>
  <c r="AF9" i="3" s="1"/>
  <c r="D12" i="4" s="1"/>
  <c r="AE14" i="3"/>
  <c r="AF14" i="3" s="1"/>
  <c r="D8" i="4" s="1"/>
  <c r="AE4" i="3"/>
  <c r="AE13" i="3"/>
  <c r="AF13" i="3" s="1"/>
  <c r="D2" i="4" s="1"/>
  <c r="AE20" i="3"/>
  <c r="AE7" i="3"/>
  <c r="AF7" i="3" s="1"/>
  <c r="D13" i="4" s="1"/>
  <c r="AE21" i="3"/>
  <c r="AF21" i="3" s="1"/>
  <c r="D14" i="4" s="1"/>
  <c r="AE8" i="3"/>
  <c r="AF8" i="3" s="1"/>
  <c r="D7" i="4" s="1"/>
  <c r="AE18" i="3"/>
  <c r="AF18" i="3" s="1"/>
  <c r="D16" i="4" s="1"/>
  <c r="AE5" i="3"/>
  <c r="AF5" i="3" s="1"/>
  <c r="D3" i="4" s="1"/>
  <c r="AE12" i="3"/>
  <c r="AF12" i="3" s="1"/>
  <c r="D19" i="4" s="1"/>
  <c r="AE10" i="3"/>
  <c r="AF10" i="3" s="1"/>
  <c r="D6" i="4" s="1"/>
  <c r="AE16" i="3"/>
  <c r="AF16" i="3" s="1"/>
  <c r="D10" i="4" s="1"/>
  <c r="AE17" i="3"/>
  <c r="AF17" i="3" s="1"/>
  <c r="D4" i="4" s="1"/>
  <c r="AE19" i="3"/>
  <c r="AE6" i="3"/>
  <c r="AF6" i="3" s="1"/>
  <c r="D17" i="4" s="1"/>
  <c r="AE15" i="3"/>
  <c r="AF15" i="3" s="1"/>
  <c r="D9" i="4" s="1"/>
  <c r="AE11" i="3"/>
  <c r="AF11" i="3" s="1"/>
  <c r="D15" i="4" s="1"/>
  <c r="AF19" i="3" l="1"/>
  <c r="D5" i="4" s="1"/>
  <c r="AF20" i="3"/>
  <c r="D18" i="4" s="1"/>
  <c r="AF4" i="3"/>
  <c r="D11" i="4" s="1"/>
  <c r="E9" i="4" l="1"/>
  <c r="E18" i="4"/>
  <c r="E6" i="4"/>
  <c r="E10" i="4"/>
  <c r="E17" i="4"/>
  <c r="E15" i="4"/>
  <c r="E3" i="4"/>
  <c r="E8" i="4"/>
  <c r="E13" i="4"/>
  <c r="E19" i="4"/>
  <c r="E2" i="4"/>
  <c r="E5" i="4"/>
  <c r="E14" i="4"/>
  <c r="E7" i="4"/>
  <c r="E11" i="4"/>
  <c r="E4" i="4"/>
  <c r="E16" i="4"/>
  <c r="E12" i="4"/>
</calcChain>
</file>

<file path=xl/sharedStrings.xml><?xml version="1.0" encoding="utf-8"?>
<sst xmlns="http://schemas.openxmlformats.org/spreadsheetml/2006/main" count="1109" uniqueCount="169">
  <si>
    <t>班级</t>
  </si>
  <si>
    <t>学号</t>
  </si>
  <si>
    <t>姓名</t>
  </si>
  <si>
    <t>总分</t>
  </si>
  <si>
    <t>综合测评分排名</t>
  </si>
  <si>
    <t>平均学分绩点排名</t>
  </si>
  <si>
    <t>2022计算机科学与技术+智能科学与技术01</t>
  </si>
  <si>
    <t>202203151115</t>
  </si>
  <si>
    <t>202203150409</t>
  </si>
  <si>
    <t>202203151217</t>
  </si>
  <si>
    <t>202203151325</t>
  </si>
  <si>
    <t>202203151010</t>
  </si>
  <si>
    <t>202203150802</t>
  </si>
  <si>
    <t>202203151127</t>
  </si>
  <si>
    <t>202203151128</t>
  </si>
  <si>
    <t>202203151129</t>
  </si>
  <si>
    <t>202203150229</t>
  </si>
  <si>
    <t>202203150813</t>
  </si>
  <si>
    <t>202203150426</t>
  </si>
  <si>
    <t>202206010314</t>
  </si>
  <si>
    <t>202203151016</t>
  </si>
  <si>
    <t>202203151304</t>
  </si>
  <si>
    <t>202203150417</t>
  </si>
  <si>
    <t>202206010225</t>
  </si>
  <si>
    <t>202203151026</t>
  </si>
  <si>
    <t>德育素质分（10%）</t>
  </si>
  <si>
    <t>智育素质分(60%)</t>
  </si>
  <si>
    <t>体育素质（8%）</t>
  </si>
  <si>
    <t>美育素质（5%)</t>
  </si>
  <si>
    <t>劳育素质（5%）</t>
  </si>
  <si>
    <t>创新与实践素质（12%）</t>
  </si>
  <si>
    <t>综合测评总得分</t>
  </si>
  <si>
    <t>基本评定分项目
（满分：6分）</t>
  </si>
  <si>
    <t>记实加减分（满分：4分）</t>
  </si>
  <si>
    <t>德育素质总得分</t>
  </si>
  <si>
    <t>体育课程成绩
（满分：5分）</t>
  </si>
  <si>
    <t>课外体育活动成绩
（满分：3分）</t>
  </si>
  <si>
    <t>体育素质总得分</t>
  </si>
  <si>
    <t>文化艺术实践成绩
（满分：0.5分）</t>
  </si>
  <si>
    <t>校内外文化艺术活动</t>
  </si>
  <si>
    <t>美育素质总得分</t>
  </si>
  <si>
    <t>日常劳动</t>
  </si>
  <si>
    <t>志愿服务
（满分：4分）</t>
  </si>
  <si>
    <t>实习实训</t>
  </si>
  <si>
    <t>劳育素质总得分</t>
  </si>
  <si>
    <t>创新创业素质</t>
  </si>
  <si>
    <t>水平考试</t>
  </si>
  <si>
    <t>社会实践</t>
  </si>
  <si>
    <t>社会工作能力
（工作表现）</t>
  </si>
  <si>
    <t>创新与实践素质总得分</t>
  </si>
  <si>
    <t>集体评定等级分
（满分：2分）</t>
  </si>
  <si>
    <t>社会责任记实分
（满分：2分）</t>
  </si>
  <si>
    <t>违纪违规扣分</t>
  </si>
  <si>
    <t>荣誉称号加分</t>
  </si>
  <si>
    <t>校内外体育竞赛得分</t>
  </si>
  <si>
    <t>早锻炼总分</t>
  </si>
  <si>
    <t>校园跑总分</t>
  </si>
  <si>
    <t>AB类总分</t>
  </si>
  <si>
    <t>C类</t>
  </si>
  <si>
    <t>得分</t>
  </si>
  <si>
    <t>2022计算机科学与技术+智能科学与技术02</t>
  </si>
  <si>
    <t>2022计算机科学与技术+智能科学与技术03</t>
  </si>
  <si>
    <t>2022计算机科学与技术+智能科学与技术04</t>
  </si>
  <si>
    <t>2022计算机科学与技术+智能科学与技术05</t>
  </si>
  <si>
    <t>2022计算机科学与技术+智能科学与技术06</t>
  </si>
  <si>
    <t>2022计算机科学与技术+智能科学与技术07</t>
  </si>
  <si>
    <t>2022计算机科学与技术+智能科学与技术08</t>
  </si>
  <si>
    <t>2022计算机科学与技术+智能科学与技术09</t>
  </si>
  <si>
    <t>2022计算机科学与技术+智能科学与技术10</t>
  </si>
  <si>
    <t>2022计算机科学与技术+智能科学与技术11</t>
  </si>
  <si>
    <t>2022计算机科学与技术+智能科学与技术12</t>
  </si>
  <si>
    <t>2022计算机科学与技术+智能科学与技术13</t>
  </si>
  <si>
    <t>2022计算机科学与技术+智能科学与技术14</t>
  </si>
  <si>
    <t>2022计算机科学与技术+智能科学与技术15</t>
  </si>
  <si>
    <t>2022计算机科学与技术+智能科学与技术16</t>
  </si>
  <si>
    <t>2022计算机科学与技术+智能科学与技术18</t>
  </si>
  <si>
    <t>2022计算机科学与技术+智能科学与技术19</t>
  </si>
  <si>
    <t>类别</t>
  </si>
  <si>
    <t>加减分条目</t>
  </si>
  <si>
    <t>等级</t>
  </si>
  <si>
    <t>学期</t>
  </si>
  <si>
    <t>分数</t>
  </si>
  <si>
    <t>基本评定分</t>
  </si>
  <si>
    <t>A</t>
  </si>
  <si>
    <t>院级优秀团干</t>
  </si>
  <si>
    <t>院级</t>
  </si>
  <si>
    <t>B</t>
  </si>
  <si>
    <t>星级志愿者</t>
  </si>
  <si>
    <t>校级</t>
  </si>
  <si>
    <t>社会责任记实分</t>
  </si>
  <si>
    <t>2024级本科新生党员领航员</t>
  </si>
  <si>
    <t>集体评定等级分</t>
  </si>
  <si>
    <t>班级考评等级</t>
  </si>
  <si>
    <t>上学期</t>
  </si>
  <si>
    <t>下学期</t>
  </si>
  <si>
    <t>平均学分绩点</t>
  </si>
  <si>
    <t>奖次</t>
  </si>
  <si>
    <t>顺位</t>
  </si>
  <si>
    <t>团体比例系数</t>
  </si>
  <si>
    <t>体育课程成绩</t>
  </si>
  <si>
    <t>体育成绩</t>
  </si>
  <si>
    <t>校内外体育活动</t>
  </si>
  <si>
    <t>校园跑</t>
  </si>
  <si>
    <t>202203150817</t>
  </si>
  <si>
    <t>校内外体育竞赛</t>
  </si>
  <si>
    <t>足球大院赛</t>
  </si>
  <si>
    <t>第七名</t>
  </si>
  <si>
    <t>校内外文化艺术竞赛</t>
  </si>
  <si>
    <t>2025年上半年分党校培训班优秀主题讨论作品</t>
  </si>
  <si>
    <t>三等奖</t>
  </si>
  <si>
    <t>二等奖</t>
  </si>
  <si>
    <t>知行杯</t>
  </si>
  <si>
    <t>劳动日常考核基础分</t>
  </si>
  <si>
    <t>志愿服务</t>
  </si>
  <si>
    <t>A类+B类</t>
  </si>
  <si>
    <t xml:space="preserve">202203150229 </t>
  </si>
  <si>
    <t>社会工作能力（工作表现）</t>
  </si>
  <si>
    <t>生活委员</t>
  </si>
  <si>
    <t xml:space="preserve">202203150310 </t>
  </si>
  <si>
    <t>文体委员</t>
  </si>
  <si>
    <t>三十六届浙江工业大学“运河杯”大学生课外学术科技作品竞赛</t>
  </si>
  <si>
    <t>浙江工业大学第二十二届大学生程序设计竞赛</t>
  </si>
  <si>
    <t>金奖</t>
  </si>
  <si>
    <t xml:space="preserve">202203150409 </t>
  </si>
  <si>
    <t>Bioinformatics - Oxford Academic 期刊录用</t>
  </si>
  <si>
    <t>ICME 2025</t>
  </si>
  <si>
    <t>班长</t>
  </si>
  <si>
    <t xml:space="preserve">202203150426 </t>
  </si>
  <si>
    <t>学习委员</t>
  </si>
  <si>
    <t>中国机器人大赛全国</t>
  </si>
  <si>
    <t>国家级</t>
  </si>
  <si>
    <t>服务外包大赛东部区域赛</t>
  </si>
  <si>
    <t>“第二十四届全国大学生机器人大赛RoboMaster2025机甲大师高校联盟”3V3对抗赛</t>
  </si>
  <si>
    <t>全国大学生创新创业训练计划结题</t>
  </si>
  <si>
    <t xml:space="preserve">202203150813 </t>
  </si>
  <si>
    <t>宣调委员</t>
  </si>
  <si>
    <t>中国机器人大赛暨RoboCup机器人世界杯</t>
  </si>
  <si>
    <t>亚军</t>
  </si>
  <si>
    <t>第十六届中国大学生服务外包创新创业大赛省</t>
  </si>
  <si>
    <t>省级</t>
  </si>
  <si>
    <t>党支部书记+团支书</t>
  </si>
  <si>
    <t>B+B</t>
  </si>
  <si>
    <t>A+B</t>
  </si>
  <si>
    <t>第四十二届学术竞赛</t>
  </si>
  <si>
    <t>ICPC国际大学生程序设计竞赛亚洲区域赛杭州站银奖</t>
  </si>
  <si>
    <t>银奖</t>
  </si>
  <si>
    <t>ICPC国际大学生程序设计竞赛亚洲区域赛昆明站银奖</t>
  </si>
  <si>
    <t>CCPC中国大学生程序设计竞赛国赛哈尔滨站铜奖</t>
  </si>
  <si>
    <t>铜奖</t>
  </si>
  <si>
    <t>CCPC中国大学生程序设计竞赛国赛郑州站银奖</t>
  </si>
  <si>
    <t>中科院SCI二区论文《Automatic adenomyosis diagnosis on ultrasound images based on segmentation-attention network》</t>
  </si>
  <si>
    <t>第十五届全国大学生三创赛</t>
  </si>
  <si>
    <t>第十六届中国大学生服务外包创新创业大赛东部赛区</t>
  </si>
  <si>
    <t>软著证书：图书信息管理系统</t>
  </si>
  <si>
    <t>软著证书：学生成绩管理系统</t>
  </si>
  <si>
    <t>党支部组织委员</t>
  </si>
  <si>
    <t xml:space="preserve">202203151217 </t>
  </si>
  <si>
    <t>心理委员</t>
  </si>
  <si>
    <t>全国大学生数学竞赛浙江赛区</t>
  </si>
  <si>
    <t xml:space="preserve">202203151325 </t>
  </si>
  <si>
    <t>202206010109</t>
  </si>
  <si>
    <t>三等级</t>
  </si>
  <si>
    <t>浙江工业大学第二十二届学生程序设计竞赛</t>
  </si>
  <si>
    <t>国家计算机等级考试三级</t>
    <phoneticPr fontId="11" type="noConversion"/>
  </si>
  <si>
    <t>国家计算机等级考试四级</t>
    <phoneticPr fontId="11" type="noConversion"/>
  </si>
  <si>
    <t>计算机软件考试中级</t>
    <phoneticPr fontId="11" type="noConversion"/>
  </si>
  <si>
    <t>英语六级</t>
    <phoneticPr fontId="11" type="noConversion"/>
  </si>
  <si>
    <t>英语四级</t>
    <phoneticPr fontId="11" type="noConversion"/>
  </si>
  <si>
    <t>市/校级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</si>
</sst>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4" x14ac:knownFonts="1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92D050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0" fillId="0" borderId="0"/>
    <xf numFmtId="0" fontId="10" fillId="0" borderId="0"/>
  </cellStyleXfs>
  <cellXfs count="7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>
      <alignment vertical="center"/>
    </xf>
    <xf numFmtId="177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176" fontId="2" fillId="0" borderId="1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77" fontId="2" fillId="0" borderId="1" xfId="1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quotePrefix="1" applyNumberFormat="1" applyFont="1" applyBorder="1" applyAlignment="1">
      <alignment horizontal="center" vertical="center"/>
    </xf>
    <xf numFmtId="49" fontId="2" fillId="0" borderId="1" xfId="0" quotePrefix="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177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9" fillId="0" borderId="1" xfId="2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</cellXfs>
  <cellStyles count="3">
    <cellStyle name="常规" xfId="0" builtinId="0"/>
    <cellStyle name="常规_Sheet1" xfId="1" xr:uid="{00000000-0005-0000-0000-000031000000}"/>
    <cellStyle name="常规_计科1101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www.wps.cn/officeDocument/2021/sharedlinks" Target="NUL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workbookViewId="0">
      <pane xSplit="2" ySplit="1" topLeftCell="C2" activePane="bottomRight" state="frozen"/>
      <selection pane="topRight"/>
      <selection pane="bottomLeft"/>
      <selection pane="bottomRight" activeCell="H24" sqref="H24"/>
    </sheetView>
  </sheetViews>
  <sheetFormatPr defaultColWidth="9.19921875" defaultRowHeight="13.5" x14ac:dyDescent="0.3"/>
  <cols>
    <col min="1" max="1" width="38.6640625" style="38" bestFit="1" customWidth="1"/>
    <col min="2" max="2" width="14.1328125" style="51" customWidth="1"/>
    <col min="3" max="3" width="4.9296875" style="38" bestFit="1" customWidth="1"/>
    <col min="4" max="4" width="8" style="40" customWidth="1"/>
    <col min="5" max="5" width="17.59765625" style="38" customWidth="1"/>
    <col min="6" max="6" width="20" style="38" customWidth="1"/>
    <col min="7" max="16384" width="9.19921875" style="52"/>
  </cols>
  <sheetData>
    <row r="1" spans="1:6" x14ac:dyDescent="0.3">
      <c r="A1" s="41" t="s">
        <v>0</v>
      </c>
      <c r="B1" s="53" t="s">
        <v>1</v>
      </c>
      <c r="C1" s="42" t="s">
        <v>2</v>
      </c>
      <c r="D1" s="50" t="s">
        <v>3</v>
      </c>
      <c r="E1" s="41" t="s">
        <v>4</v>
      </c>
      <c r="F1" s="41" t="s">
        <v>5</v>
      </c>
    </row>
    <row r="2" spans="1:6" x14ac:dyDescent="0.3">
      <c r="A2" s="11" t="s">
        <v>6</v>
      </c>
      <c r="B2" s="21" t="s">
        <v>7</v>
      </c>
      <c r="C2" s="11"/>
      <c r="D2" s="50">
        <f>VLOOKUP(B2,计分表!B:AF,31,0)</f>
        <v>76.346625000000003</v>
      </c>
      <c r="E2" s="41">
        <f>RANK(D2,D$2:D$19)</f>
        <v>3</v>
      </c>
      <c r="F2" s="41">
        <f>_xlfn.RANK.EQ(VLOOKUP(B2,智育素质!$B:$D,3,FALSE),智育素质!$D:$D,0)</f>
        <v>5</v>
      </c>
    </row>
    <row r="3" spans="1:6" x14ac:dyDescent="0.3">
      <c r="A3" s="11" t="s">
        <v>6</v>
      </c>
      <c r="B3" s="21" t="s">
        <v>8</v>
      </c>
      <c r="C3" s="11"/>
      <c r="D3" s="50">
        <f>VLOOKUP(B3,计分表!B:AF,31,0)</f>
        <v>82.212599999999995</v>
      </c>
      <c r="E3" s="41">
        <f t="shared" ref="E3:E19" si="0">RANK(D3,D$2:D$19)</f>
        <v>1</v>
      </c>
      <c r="F3" s="41">
        <f>_xlfn.RANK.EQ(VLOOKUP(B3,智育素质!$B:$D,3,FALSE),智育素质!$D:$D,0)</f>
        <v>1</v>
      </c>
    </row>
    <row r="4" spans="1:6" x14ac:dyDescent="0.3">
      <c r="A4" s="11" t="s">
        <v>6</v>
      </c>
      <c r="B4" s="21" t="s">
        <v>9</v>
      </c>
      <c r="C4" s="11"/>
      <c r="D4" s="50">
        <f>VLOOKUP(B4,计分表!B:AF,31,0)</f>
        <v>75.366466666666668</v>
      </c>
      <c r="E4" s="41">
        <f t="shared" si="0"/>
        <v>5</v>
      </c>
      <c r="F4" s="41">
        <f>_xlfn.RANK.EQ(VLOOKUP(B4,智育素质!$B:$D,3,FALSE),智育素质!$D:$D,0)</f>
        <v>2</v>
      </c>
    </row>
    <row r="5" spans="1:6" x14ac:dyDescent="0.3">
      <c r="A5" s="11" t="s">
        <v>6</v>
      </c>
      <c r="B5" s="21" t="s">
        <v>10</v>
      </c>
      <c r="C5" s="11"/>
      <c r="D5" s="50">
        <f>VLOOKUP(B5,计分表!B:AF,31,0)</f>
        <v>66.638277777777773</v>
      </c>
      <c r="E5" s="41">
        <f t="shared" si="0"/>
        <v>7</v>
      </c>
      <c r="F5" s="41">
        <f>_xlfn.RANK.EQ(VLOOKUP(B5,智育素质!$B:$D,3,FALSE),智育素质!$D:$D,0)</f>
        <v>8</v>
      </c>
    </row>
    <row r="6" spans="1:6" x14ac:dyDescent="0.3">
      <c r="A6" s="11" t="s">
        <v>6</v>
      </c>
      <c r="B6" s="21" t="s">
        <v>11</v>
      </c>
      <c r="C6" s="11"/>
      <c r="D6" s="50">
        <f>VLOOKUP(B6,计分表!B:AF,31,0)</f>
        <v>75.712284722222208</v>
      </c>
      <c r="E6" s="41">
        <f t="shared" si="0"/>
        <v>4</v>
      </c>
      <c r="F6" s="41">
        <f>_xlfn.RANK.EQ(VLOOKUP(B6,智育素质!$B:$D,3,FALSE),智育素质!$D:$D,0)</f>
        <v>4</v>
      </c>
    </row>
    <row r="7" spans="1:6" x14ac:dyDescent="0.3">
      <c r="A7" s="11" t="s">
        <v>6</v>
      </c>
      <c r="B7" s="21" t="s">
        <v>12</v>
      </c>
      <c r="C7" s="11"/>
      <c r="D7" s="50">
        <f>VLOOKUP(B7,计分表!B:AF,31,0)</f>
        <v>77.071206249999989</v>
      </c>
      <c r="E7" s="41">
        <f t="shared" si="0"/>
        <v>2</v>
      </c>
      <c r="F7" s="41">
        <f>_xlfn.RANK.EQ(VLOOKUP(B7,智育素质!$B:$D,3,FALSE),智育素质!$D:$D,0)</f>
        <v>3</v>
      </c>
    </row>
    <row r="8" spans="1:6" x14ac:dyDescent="0.3">
      <c r="A8" s="11" t="s">
        <v>6</v>
      </c>
      <c r="B8" s="21" t="s">
        <v>13</v>
      </c>
      <c r="C8" s="11"/>
      <c r="D8" s="50">
        <f>VLOOKUP(B8,计分表!B:AF,31,0)</f>
        <v>62.589520833333331</v>
      </c>
      <c r="E8" s="41">
        <f t="shared" si="0"/>
        <v>10</v>
      </c>
      <c r="F8" s="41">
        <f>_xlfn.RANK.EQ(VLOOKUP(B8,智育素质!$B:$D,3,FALSE),智育素质!$D:$D,0)</f>
        <v>9</v>
      </c>
    </row>
    <row r="9" spans="1:6" x14ac:dyDescent="0.3">
      <c r="A9" s="11" t="s">
        <v>6</v>
      </c>
      <c r="B9" s="21" t="s">
        <v>14</v>
      </c>
      <c r="C9" s="11"/>
      <c r="D9" s="50">
        <f>VLOOKUP(B9,计分表!B:AF,31,0)</f>
        <v>59.795958333333338</v>
      </c>
      <c r="E9" s="41">
        <f t="shared" si="0"/>
        <v>16</v>
      </c>
      <c r="F9" s="41">
        <f>_xlfn.RANK.EQ(VLOOKUP(B9,智育素质!$B:$D,3,FALSE),智育素质!$D:$D,0)</f>
        <v>16</v>
      </c>
    </row>
    <row r="10" spans="1:6" x14ac:dyDescent="0.3">
      <c r="A10" s="11" t="s">
        <v>6</v>
      </c>
      <c r="B10" s="21" t="s">
        <v>15</v>
      </c>
      <c r="C10" s="11"/>
      <c r="D10" s="50">
        <f>VLOOKUP(B10,计分表!B:AF,31,0)</f>
        <v>61.053958333333334</v>
      </c>
      <c r="E10" s="41">
        <f t="shared" si="0"/>
        <v>13</v>
      </c>
      <c r="F10" s="41">
        <f>_xlfn.RANK.EQ(VLOOKUP(B10,智育素质!$B:$D,3,FALSE),智育素质!$D:$D,0)</f>
        <v>13</v>
      </c>
    </row>
    <row r="11" spans="1:6" x14ac:dyDescent="0.3">
      <c r="A11" s="11" t="s">
        <v>6</v>
      </c>
      <c r="B11" s="21" t="s">
        <v>16</v>
      </c>
      <c r="C11" s="11"/>
      <c r="D11" s="50">
        <f>VLOOKUP(B11,计分表!B:AF,31,0)</f>
        <v>67.498062499999989</v>
      </c>
      <c r="E11" s="41">
        <f t="shared" si="0"/>
        <v>6</v>
      </c>
      <c r="F11" s="41">
        <f>_xlfn.RANK.EQ(VLOOKUP(B11,智育素质!$B:$D,3,FALSE),智育素质!$D:$D,0)</f>
        <v>6</v>
      </c>
    </row>
    <row r="12" spans="1:6" x14ac:dyDescent="0.3">
      <c r="A12" s="11" t="s">
        <v>6</v>
      </c>
      <c r="B12" s="21" t="s">
        <v>17</v>
      </c>
      <c r="C12" s="11"/>
      <c r="D12" s="50">
        <f>VLOOKUP(B12,计分表!B:AF,31,0)</f>
        <v>62.565275</v>
      </c>
      <c r="E12" s="41">
        <f t="shared" si="0"/>
        <v>11</v>
      </c>
      <c r="F12" s="41">
        <f>_xlfn.RANK.EQ(VLOOKUP(B12,智育素质!$B:$D,3,FALSE),智育素质!$D:$D,0)</f>
        <v>11</v>
      </c>
    </row>
    <row r="13" spans="1:6" x14ac:dyDescent="0.3">
      <c r="A13" s="11" t="s">
        <v>6</v>
      </c>
      <c r="B13" s="21" t="s">
        <v>18</v>
      </c>
      <c r="C13" s="11"/>
      <c r="D13" s="50">
        <f>VLOOKUP(B13,计分表!B:AF,31,0)</f>
        <v>65.463534722222221</v>
      </c>
      <c r="E13" s="41">
        <f t="shared" si="0"/>
        <v>8</v>
      </c>
      <c r="F13" s="41">
        <f>_xlfn.RANK.EQ(VLOOKUP(B13,智育素质!$B:$D,3,FALSE),智育素质!$D:$D,0)</f>
        <v>7</v>
      </c>
    </row>
    <row r="14" spans="1:6" x14ac:dyDescent="0.3">
      <c r="A14" s="11" t="s">
        <v>6</v>
      </c>
      <c r="B14" s="21" t="s">
        <v>19</v>
      </c>
      <c r="C14" s="11"/>
      <c r="D14" s="50">
        <f>VLOOKUP(B14,计分表!B:AF,31,0)</f>
        <v>60.114611111111117</v>
      </c>
      <c r="E14" s="41">
        <f t="shared" si="0"/>
        <v>15</v>
      </c>
      <c r="F14" s="41">
        <f>_xlfn.RANK.EQ(VLOOKUP(B14,智育素质!$B:$D,3,FALSE),智育素质!$D:$D,0)</f>
        <v>15</v>
      </c>
    </row>
    <row r="15" spans="1:6" x14ac:dyDescent="0.3">
      <c r="A15" s="11" t="s">
        <v>6</v>
      </c>
      <c r="B15" s="21" t="s">
        <v>20</v>
      </c>
      <c r="C15" s="11"/>
      <c r="D15" s="50">
        <f>VLOOKUP(B15,计分表!B:AF,31,0)</f>
        <v>63.73855555555555</v>
      </c>
      <c r="E15" s="41">
        <f t="shared" si="0"/>
        <v>9</v>
      </c>
      <c r="F15" s="41">
        <f>_xlfn.RANK.EQ(VLOOKUP(B15,智育素质!$B:$D,3,FALSE),智育素质!$D:$D,0)</f>
        <v>10</v>
      </c>
    </row>
    <row r="16" spans="1:6" x14ac:dyDescent="0.3">
      <c r="A16" s="11" t="s">
        <v>6</v>
      </c>
      <c r="B16" s="21" t="s">
        <v>21</v>
      </c>
      <c r="C16" s="11"/>
      <c r="D16" s="50">
        <f>VLOOKUP(B16,计分表!B:AF,31,0)</f>
        <v>62.321112500000005</v>
      </c>
      <c r="E16" s="41">
        <f t="shared" si="0"/>
        <v>12</v>
      </c>
      <c r="F16" s="41">
        <f>_xlfn.RANK.EQ(VLOOKUP(B16,智育素质!$B:$D,3,FALSE),智育素质!$D:$D,0)</f>
        <v>12</v>
      </c>
    </row>
    <row r="17" spans="1:6" x14ac:dyDescent="0.3">
      <c r="A17" s="11" t="s">
        <v>6</v>
      </c>
      <c r="B17" s="21" t="s">
        <v>22</v>
      </c>
      <c r="C17" s="11"/>
      <c r="D17" s="50">
        <f>VLOOKUP(B17,计分表!B:AF,31,0)</f>
        <v>60.549612500000002</v>
      </c>
      <c r="E17" s="41">
        <f t="shared" si="0"/>
        <v>14</v>
      </c>
      <c r="F17" s="41">
        <f>_xlfn.RANK.EQ(VLOOKUP(B17,智育素质!$B:$D,3,FALSE),智育素质!$D:$D,0)</f>
        <v>14</v>
      </c>
    </row>
    <row r="18" spans="1:6" x14ac:dyDescent="0.3">
      <c r="A18" s="11" t="s">
        <v>6</v>
      </c>
      <c r="B18" s="21" t="s">
        <v>23</v>
      </c>
      <c r="C18" s="11"/>
      <c r="D18" s="50">
        <f>VLOOKUP(B18,计分表!B:AF,31,0)</f>
        <v>57.562000000000005</v>
      </c>
      <c r="E18" s="41">
        <f t="shared" si="0"/>
        <v>18</v>
      </c>
      <c r="F18" s="41">
        <f>_xlfn.RANK.EQ(VLOOKUP(B18,智育素质!$B:$D,3,FALSE),智育素质!$D:$D,0)</f>
        <v>18</v>
      </c>
    </row>
    <row r="19" spans="1:6" x14ac:dyDescent="0.3">
      <c r="A19" s="11" t="s">
        <v>6</v>
      </c>
      <c r="B19" s="21" t="s">
        <v>24</v>
      </c>
      <c r="C19" s="11"/>
      <c r="D19" s="50">
        <f>VLOOKUP(B19,计分表!B:AF,31,0)</f>
        <v>57.835999999999999</v>
      </c>
      <c r="E19" s="41">
        <f t="shared" si="0"/>
        <v>17</v>
      </c>
      <c r="F19" s="41">
        <f>_xlfn.RANK.EQ(VLOOKUP(B19,智育素质!$B:$D,3,FALSE),智育素质!$D:$D,0)</f>
        <v>17</v>
      </c>
    </row>
  </sheetData>
  <phoneticPr fontId="11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1"/>
  <sheetViews>
    <sheetView workbookViewId="0">
      <pane xSplit="2" ySplit="3" topLeftCell="C4" activePane="bottomRight" state="frozen"/>
      <selection pane="topRight"/>
      <selection pane="bottomLeft"/>
      <selection pane="bottomRight" activeCell="A11" sqref="A11"/>
    </sheetView>
  </sheetViews>
  <sheetFormatPr defaultColWidth="9.19921875" defaultRowHeight="13.5" x14ac:dyDescent="0.3"/>
  <cols>
    <col min="1" max="1" width="38.6640625" style="38" bestFit="1" customWidth="1"/>
    <col min="2" max="2" width="14.1328125" style="38" customWidth="1"/>
    <col min="3" max="3" width="4.9296875" style="38" bestFit="1" customWidth="1"/>
    <col min="4" max="4" width="15.9296875" style="39" customWidth="1"/>
    <col min="5" max="5" width="17.1328125" style="39" customWidth="1"/>
    <col min="6" max="6" width="15.9296875" style="39" customWidth="1"/>
    <col min="7" max="8" width="13.86328125" style="39" customWidth="1"/>
    <col min="9" max="9" width="5.6640625" style="39" customWidth="1"/>
    <col min="10" max="10" width="15.9296875" style="39" customWidth="1"/>
    <col min="11" max="11" width="16.73046875" style="38" customWidth="1"/>
    <col min="12" max="12" width="14.796875" style="38" customWidth="1"/>
    <col min="13" max="13" width="20.19921875" style="38" customWidth="1"/>
    <col min="14" max="14" width="11.73046875" style="38" customWidth="1"/>
    <col min="15" max="15" width="11.73046875" style="39" customWidth="1"/>
    <col min="16" max="16" width="6.06640625" style="38" customWidth="1"/>
    <col min="17" max="17" width="15.9296875" style="39" customWidth="1"/>
    <col min="18" max="18" width="18.06640625" style="38" customWidth="1"/>
    <col min="19" max="19" width="20.19921875" style="38" customWidth="1"/>
    <col min="20" max="20" width="15.9296875" style="38" customWidth="1"/>
    <col min="21" max="21" width="9.3984375" style="38" customWidth="1"/>
    <col min="22" max="22" width="10.19921875" style="40" customWidth="1"/>
    <col min="23" max="24" width="6.06640625" style="40" customWidth="1"/>
    <col min="25" max="25" width="9.3984375" style="40" customWidth="1"/>
    <col min="26" max="26" width="15.9296875" style="40" customWidth="1"/>
    <col min="27" max="27" width="13.86328125" style="40" customWidth="1"/>
    <col min="28" max="29" width="9.3984375" style="40" customWidth="1"/>
    <col min="30" max="30" width="7.33203125" style="40" customWidth="1"/>
    <col min="31" max="31" width="22.46484375" style="40" customWidth="1"/>
    <col min="32" max="32" width="15.9296875" style="40" customWidth="1"/>
    <col min="33" max="16384" width="9.19921875" style="38"/>
  </cols>
  <sheetData>
    <row r="1" spans="1:32" s="37" customFormat="1" ht="40.049999999999997" customHeight="1" x14ac:dyDescent="0.3">
      <c r="A1" s="66" t="s">
        <v>0</v>
      </c>
      <c r="B1" s="67" t="s">
        <v>1</v>
      </c>
      <c r="C1" s="67" t="s">
        <v>2</v>
      </c>
      <c r="D1" s="59" t="s">
        <v>25</v>
      </c>
      <c r="E1" s="59"/>
      <c r="F1" s="59"/>
      <c r="G1" s="59"/>
      <c r="H1" s="59"/>
      <c r="I1" s="59"/>
      <c r="J1" s="59"/>
      <c r="K1" s="58" t="s">
        <v>26</v>
      </c>
      <c r="L1" s="58" t="s">
        <v>27</v>
      </c>
      <c r="M1" s="58"/>
      <c r="N1" s="58"/>
      <c r="O1" s="59"/>
      <c r="P1" s="58"/>
      <c r="Q1" s="59"/>
      <c r="R1" s="60" t="s">
        <v>28</v>
      </c>
      <c r="S1" s="60"/>
      <c r="T1" s="60"/>
      <c r="U1" s="58" t="s">
        <v>29</v>
      </c>
      <c r="V1" s="61"/>
      <c r="W1" s="61"/>
      <c r="X1" s="61"/>
      <c r="Y1" s="61"/>
      <c r="Z1" s="61"/>
      <c r="AA1" s="62" t="s">
        <v>30</v>
      </c>
      <c r="AB1" s="62"/>
      <c r="AC1" s="62"/>
      <c r="AD1" s="62"/>
      <c r="AE1" s="62"/>
      <c r="AF1" s="76" t="s">
        <v>31</v>
      </c>
    </row>
    <row r="2" spans="1:32" s="37" customFormat="1" ht="40.049999999999997" customHeight="1" x14ac:dyDescent="0.3">
      <c r="A2" s="66"/>
      <c r="B2" s="67"/>
      <c r="C2" s="67"/>
      <c r="D2" s="68" t="s">
        <v>32</v>
      </c>
      <c r="E2" s="63" t="s">
        <v>33</v>
      </c>
      <c r="F2" s="63"/>
      <c r="G2" s="63"/>
      <c r="H2" s="63"/>
      <c r="I2" s="63"/>
      <c r="J2" s="68" t="s">
        <v>34</v>
      </c>
      <c r="K2" s="58"/>
      <c r="L2" s="64" t="s">
        <v>35</v>
      </c>
      <c r="M2" s="64" t="s">
        <v>36</v>
      </c>
      <c r="N2" s="64"/>
      <c r="O2" s="63"/>
      <c r="P2" s="64"/>
      <c r="Q2" s="63" t="s">
        <v>37</v>
      </c>
      <c r="R2" s="69" t="s">
        <v>38</v>
      </c>
      <c r="S2" s="70" t="s">
        <v>39</v>
      </c>
      <c r="T2" s="69" t="s">
        <v>40</v>
      </c>
      <c r="U2" s="72" t="s">
        <v>41</v>
      </c>
      <c r="V2" s="65" t="s">
        <v>42</v>
      </c>
      <c r="W2" s="65"/>
      <c r="X2" s="65"/>
      <c r="Y2" s="77" t="s">
        <v>43</v>
      </c>
      <c r="Z2" s="65" t="s">
        <v>44</v>
      </c>
      <c r="AA2" s="77" t="s">
        <v>45</v>
      </c>
      <c r="AB2" s="77" t="s">
        <v>46</v>
      </c>
      <c r="AC2" s="77" t="s">
        <v>47</v>
      </c>
      <c r="AD2" s="74" t="s">
        <v>48</v>
      </c>
      <c r="AE2" s="65" t="s">
        <v>49</v>
      </c>
      <c r="AF2" s="76"/>
    </row>
    <row r="3" spans="1:32" s="37" customFormat="1" ht="40.049999999999997" customHeight="1" x14ac:dyDescent="0.3">
      <c r="A3" s="66"/>
      <c r="B3" s="67"/>
      <c r="C3" s="67"/>
      <c r="D3" s="68"/>
      <c r="E3" s="47" t="s">
        <v>50</v>
      </c>
      <c r="F3" s="48" t="s">
        <v>51</v>
      </c>
      <c r="G3" s="43" t="s">
        <v>52</v>
      </c>
      <c r="H3" s="43" t="s">
        <v>53</v>
      </c>
      <c r="I3" s="43" t="s">
        <v>3</v>
      </c>
      <c r="J3" s="68"/>
      <c r="K3" s="58"/>
      <c r="L3" s="64"/>
      <c r="M3" s="49" t="s">
        <v>54</v>
      </c>
      <c r="N3" s="49" t="s">
        <v>55</v>
      </c>
      <c r="O3" s="46" t="s">
        <v>56</v>
      </c>
      <c r="P3" s="49" t="s">
        <v>3</v>
      </c>
      <c r="Q3" s="63"/>
      <c r="R3" s="69"/>
      <c r="S3" s="71"/>
      <c r="T3" s="69"/>
      <c r="U3" s="73"/>
      <c r="V3" s="13" t="s">
        <v>57</v>
      </c>
      <c r="W3" s="13" t="s">
        <v>58</v>
      </c>
      <c r="X3" s="13" t="s">
        <v>59</v>
      </c>
      <c r="Y3" s="78"/>
      <c r="Z3" s="65"/>
      <c r="AA3" s="78"/>
      <c r="AB3" s="78"/>
      <c r="AC3" s="78"/>
      <c r="AD3" s="75"/>
      <c r="AE3" s="65"/>
      <c r="AF3" s="76"/>
    </row>
    <row r="4" spans="1:32" x14ac:dyDescent="0.3">
      <c r="A4" s="21" t="s">
        <v>6</v>
      </c>
      <c r="B4" s="17" t="s">
        <v>16</v>
      </c>
      <c r="C4" s="17"/>
      <c r="D4" s="44">
        <f>SUMIFS(德育素质!H:H,德育素质!B:B,B4,德育素质!D:D,"=基本评定分")</f>
        <v>6</v>
      </c>
      <c r="E4" s="44">
        <f>MIN(2,SUMIFS(德育素质!H:H,德育素质!A:A,A4,德育素质!D:D,"=集体评定等级分",德育素质!E:E,"=班级考评等级")+SUMIFS(德育素质!H:H,德育素质!B:B,B4,德育素质!D:D,"=集体评定等级分"))</f>
        <v>2</v>
      </c>
      <c r="F4" s="44">
        <f>MIN(2,SUMIFS(德育素质!H:H,德育素质!B:B,B4,德育素质!D:D,"=社会责任记实分"))</f>
        <v>0</v>
      </c>
      <c r="G4" s="44">
        <f>SUMIFS(德育素质!H:H,德育素质!B:B,B4,德育素质!D:D,"=违纪违规扣分")</f>
        <v>0</v>
      </c>
      <c r="H4" s="44">
        <f>SUMIFS(德育素质!H:H,德育素质!B:B,B4,德育素质!D:D,"=荣誉称号加分")</f>
        <v>0</v>
      </c>
      <c r="I4" s="44">
        <f>MIN(4,E4+F4+G4+H4)</f>
        <v>2</v>
      </c>
      <c r="J4" s="44">
        <f>D4+I4</f>
        <v>8</v>
      </c>
      <c r="K4" s="44">
        <f>(VLOOKUP(B4,智育素质!B:D,3,0)*10+50)*0.6</f>
        <v>52.655999999999992</v>
      </c>
      <c r="L4" s="44">
        <f>SUMIFS(体育素质!J:J,体育素质!B:B,B4,体育素质!D:D,"=体育课程成绩",体育素质!E:E,"=体育成绩")/40</f>
        <v>3.92</v>
      </c>
      <c r="M4" s="44">
        <f>SUMIFS(体育素质!L:L,体育素质!B:B,B4,体育素质!D:D,"=校内外体育竞赛")</f>
        <v>0</v>
      </c>
      <c r="N4" s="44">
        <f>SUMIFS(体育素质!L:L,体育素质!B:B,B4,体育素质!D:D,"=校内外体育活动",体育素质!E:E,"=早锻炼")</f>
        <v>0</v>
      </c>
      <c r="O4" s="44">
        <f>SUMIFS(体育素质!L:L,体育素质!B:B,B4,体育素质!D:D,"=校内外体育活动",体育素质!E:E,"=校园跑")</f>
        <v>0.78572916666666703</v>
      </c>
      <c r="P4" s="44">
        <f>MIN(3,M4+N4+O4)</f>
        <v>0.78572916666666703</v>
      </c>
      <c r="Q4" s="44">
        <f>MIN(8,P4+L4)</f>
        <v>4.7057291666666696</v>
      </c>
      <c r="R4" s="44">
        <f>MIN(0.5,SUMIFS(美育素质!L:L,美育素质!B:B,B4,美育素质!D:D,"=文化艺术实践"))</f>
        <v>0</v>
      </c>
      <c r="S4" s="44">
        <f>SUMIFS(美育素质!L:L,美育素质!B:B,B4,美育素质!D:D,"=校内外文化艺术竞赛")</f>
        <v>0</v>
      </c>
      <c r="T4" s="44">
        <f>MIN(5,S4+R4)</f>
        <v>0</v>
      </c>
      <c r="U4" s="44">
        <f>MAX(0,SUMIFS(劳育素质!K:K,劳育素质!B:B,B4,劳育素质!D:D,"=劳动日常考核基础分")+SUMIFS(劳育素质!K:K,劳育素质!B:B,B4,劳育素质!D:D,"=活动与卫生加减分"))</f>
        <v>1.46133333333333</v>
      </c>
      <c r="V4" s="50">
        <f>SUMIFS(劳育素质!K:K,劳育素质!B:B,B4,劳育素质!D:D,"=志愿服务",劳育素质!F:F,"=A类+B类")</f>
        <v>7.4999999999999997E-2</v>
      </c>
      <c r="W4" s="50">
        <f>MIN(0.5,SUMIFS(劳育素质!K:K,劳育素质!B:B,B4,劳育素质!D:D,"=志愿服务",劳育素质!F:F,"=C类"))</f>
        <v>0</v>
      </c>
      <c r="X4" s="50">
        <f>MIN(4,V4+W4)</f>
        <v>7.4999999999999997E-2</v>
      </c>
      <c r="Y4" s="50">
        <f>SUMIFS(劳育素质!K:K,劳育素质!B:B,B4,劳育素质!D:D,"=实习实训")</f>
        <v>0</v>
      </c>
      <c r="Z4" s="50">
        <f>MIN(5,U4+X4+Y4)</f>
        <v>1.53633333333333</v>
      </c>
      <c r="AA4" s="50">
        <f>SUMIFS(创新与实践素质!L:L,创新与实践素质!B:B,B4,创新与实践素质!D:D,"=创新创业素质")</f>
        <v>0</v>
      </c>
      <c r="AB4" s="50">
        <f>SUMIFS(创新与实践素质!L:L,创新与实践素质!B:B,B4,创新与实践素质!D:D,"=水平考试")</f>
        <v>0</v>
      </c>
      <c r="AC4" s="50">
        <f>SUMIFS(创新与实践素质!L:L,创新与实践素质!B:B,B4,创新与实践素质!D:D,"=社会实践")</f>
        <v>0</v>
      </c>
      <c r="AD4" s="50">
        <f>_xlfn.MAXIFS(创新与实践素质!L:L,创新与实践素质!B:B,B4,创新与实践素质!D:D,"=社会工作能力（工作表现）",创新与实践素质!G:G,"=上学期")+_xlfn.MAXIFS(创新与实践素质!L:L,创新与实践素质!B:B,B4,创新与实践素质!D:D,"=社会工作能力（工作表现）",创新与实践素质!G:G,"=下学期")</f>
        <v>0.6</v>
      </c>
      <c r="AE4" s="50">
        <f>MIN(12,AA4+AB4+AC4+AD4)</f>
        <v>0.6</v>
      </c>
      <c r="AF4" s="50">
        <f>AE4+Z4+T4+Q4+K4+J4</f>
        <v>67.498062499999989</v>
      </c>
    </row>
    <row r="5" spans="1:32" x14ac:dyDescent="0.3">
      <c r="A5" s="21" t="s">
        <v>60</v>
      </c>
      <c r="B5" s="17" t="s">
        <v>8</v>
      </c>
      <c r="C5" s="17"/>
      <c r="D5" s="44">
        <f>SUMIFS(德育素质!H:H,德育素质!B:B,B5,德育素质!D:D,"=基本评定分")</f>
        <v>6</v>
      </c>
      <c r="E5" s="44">
        <f>MIN(2,SUMIFS(德育素质!H:H,德育素质!A:A,A5,德育素质!D:D,"=集体评定等级分",德育素质!E:E,"=班级考评等级")+SUMIFS(德育素质!H:H,德育素质!B:B,B5,德育素质!D:D,"=集体评定等级分"))</f>
        <v>0</v>
      </c>
      <c r="F5" s="44">
        <f>MIN(2,SUMIFS(德育素质!H:H,德育素质!B:B,B5,德育素质!D:D,"=社会责任记实分"))</f>
        <v>0</v>
      </c>
      <c r="G5" s="44">
        <f>SUMIFS(德育素质!H:H,德育素质!B:B,B5,德育素质!D:D,"=违纪违规扣分")</f>
        <v>0</v>
      </c>
      <c r="H5" s="44">
        <f>SUMIFS(德育素质!H:H,德育素质!B:B,B5,德育素质!D:D,"=荣誉称号加分")</f>
        <v>0.25</v>
      </c>
      <c r="I5" s="44">
        <f t="shared" ref="I5:I21" si="0">MIN(4,E5+F5+G5+H5)</f>
        <v>0.25</v>
      </c>
      <c r="J5" s="44">
        <f t="shared" ref="J5:J21" si="1">D5+I5</f>
        <v>6.25</v>
      </c>
      <c r="K5" s="44">
        <f>(VLOOKUP(B5,智育素质!B:D,3,0)*10+50)*0.6</f>
        <v>54.51</v>
      </c>
      <c r="L5" s="44">
        <f>SUMIFS(体育素质!J:J,体育素质!B:B,B5,体育素质!D:D,"=体育课程成绩",体育素质!E:E,"=体育成绩")/40</f>
        <v>4.1449999999999996</v>
      </c>
      <c r="M5" s="44">
        <f>SUMIFS(体育素质!L:L,体育素质!B:B,B5,体育素质!D:D,"=校内外体育竞赛")</f>
        <v>0</v>
      </c>
      <c r="N5" s="44">
        <f>SUMIFS(体育素质!L:L,体育素质!B:B,B5,体育素质!D:D,"=校内外体育活动",体育素质!E:E,"=早锻炼")</f>
        <v>0</v>
      </c>
      <c r="O5" s="44">
        <f>SUMIFS(体育素质!L:L,体育素质!B:B,B5,体育素质!D:D,"=校内外体育活动",体育素质!E:E,"=校园跑")</f>
        <v>1</v>
      </c>
      <c r="P5" s="44">
        <f t="shared" ref="P5:P21" si="2">MIN(3,M5+N5+O5)</f>
        <v>1</v>
      </c>
      <c r="Q5" s="44">
        <f t="shared" ref="Q5:Q21" si="3">MIN(8,P5+L5)</f>
        <v>5.1449999999999996</v>
      </c>
      <c r="R5" s="44">
        <f>MIN(0.5,SUMIFS(美育素质!L:L,美育素质!B:B,B5,美育素质!D:D,"=文化艺术实践"))</f>
        <v>0</v>
      </c>
      <c r="S5" s="44">
        <f>SUMIFS(美育素质!L:L,美育素质!B:B,B5,美育素质!D:D,"=校内外文化艺术竞赛")</f>
        <v>0.25</v>
      </c>
      <c r="T5" s="44">
        <f t="shared" ref="T5:T21" si="4">MIN(5,S5+R5)</f>
        <v>0.25</v>
      </c>
      <c r="U5" s="44">
        <f>MAX(0,SUMIFS(劳育素质!K:K,劳育素质!B:B,B5,劳育素质!D:D,"=劳动日常考核基础分")+SUMIFS(劳育素质!K:K,劳育素质!B:B,B5,劳育素质!D:D,"=活动与卫生加减分"))</f>
        <v>1.4576</v>
      </c>
      <c r="V5" s="50">
        <f>SUMIFS(劳育素质!K:K,劳育素质!B:B,B5,劳育素质!D:D,"=志愿服务",劳育素质!F:F,"=A类+B类")</f>
        <v>3</v>
      </c>
      <c r="W5" s="50">
        <f>MIN(0.5,SUMIFS(劳育素质!K:K,劳育素质!B:B,B5,劳育素质!D:D,"=志愿服务",劳育素质!F:F,"=C类"))</f>
        <v>0</v>
      </c>
      <c r="X5" s="50">
        <f t="shared" ref="X5:X21" si="5">MIN(4,V5+W5)</f>
        <v>3</v>
      </c>
      <c r="Y5" s="50">
        <f>SUMIFS(劳育素质!K:K,劳育素质!B:B,B5,劳育素质!D:D,"=实习实训")</f>
        <v>0</v>
      </c>
      <c r="Z5" s="50">
        <f t="shared" ref="Z5:Z21" si="6">MIN(5,U5+X5+Y5)</f>
        <v>4.4576000000000002</v>
      </c>
      <c r="AA5" s="50">
        <f>SUMIFS(创新与实践素质!L:L,创新与实践素质!B:B,B5,创新与实践素质!D:D,"=创新创业素质")</f>
        <v>10.6</v>
      </c>
      <c r="AB5" s="50">
        <f>SUMIFS(创新与实践素质!L:L,创新与实践素质!B:B,B5,创新与实践素质!D:D,"=水平考试")</f>
        <v>0</v>
      </c>
      <c r="AC5" s="50">
        <f>SUMIFS(创新与实践素质!L:L,创新与实践素质!B:B,B5,创新与实践素质!D:D,"=社会实践")</f>
        <v>0</v>
      </c>
      <c r="AD5" s="50">
        <f>_xlfn.MAXIFS(创新与实践素质!L:L,创新与实践素质!B:B,B5,创新与实践素质!D:D,"=社会工作能力（工作表现）",创新与实践素质!G:G,"=上学期")+_xlfn.MAXIFS(创新与实践素质!L:L,创新与实践素质!B:B,B5,创新与实践素质!D:D,"=社会工作能力（工作表现）",创新与实践素质!G:G,"=下学期")</f>
        <v>1</v>
      </c>
      <c r="AE5" s="50">
        <f t="shared" ref="AE5:AE21" si="7">MIN(12,AA5+AB5+AC5+AD5)</f>
        <v>11.6</v>
      </c>
      <c r="AF5" s="50">
        <f t="shared" ref="AF5:AF21" si="8">AE5+Z5+T5+Q5+K5+J5</f>
        <v>82.212599999999995</v>
      </c>
    </row>
    <row r="6" spans="1:32" x14ac:dyDescent="0.3">
      <c r="A6" s="21" t="s">
        <v>61</v>
      </c>
      <c r="B6" s="17" t="s">
        <v>22</v>
      </c>
      <c r="C6" s="17"/>
      <c r="D6" s="44">
        <f>SUMIFS(德育素质!H:H,德育素质!B:B,B6,德育素质!D:D,"=基本评定分")</f>
        <v>5.28</v>
      </c>
      <c r="E6" s="44">
        <f>MIN(2,SUMIFS(德育素质!H:H,德育素质!A:A,A6,德育素质!D:D,"=集体评定等级分",德育素质!E:E,"=班级考评等级")+SUMIFS(德育素质!H:H,德育素质!B:B,B6,德育素质!D:D,"=集体评定等级分"))</f>
        <v>0</v>
      </c>
      <c r="F6" s="44">
        <f>MIN(2,SUMIFS(德育素质!H:H,德育素质!B:B,B6,德育素质!D:D,"=社会责任记实分"))</f>
        <v>0</v>
      </c>
      <c r="G6" s="44">
        <f>SUMIFS(德育素质!H:H,德育素质!B:B,B6,德育素质!D:D,"=违纪违规扣分")</f>
        <v>0</v>
      </c>
      <c r="H6" s="44">
        <f>SUMIFS(德育素质!H:H,德育素质!B:B,B6,德育素质!D:D,"=荣誉称号加分")</f>
        <v>0</v>
      </c>
      <c r="I6" s="44">
        <f t="shared" si="0"/>
        <v>0</v>
      </c>
      <c r="J6" s="44">
        <f t="shared" si="1"/>
        <v>5.28</v>
      </c>
      <c r="K6" s="44">
        <f>(VLOOKUP(B6,智育素质!B:D,3,0)*10+50)*0.6</f>
        <v>49.884</v>
      </c>
      <c r="L6" s="44">
        <f>SUMIFS(体育素质!J:J,体育素质!B:B,B6,体育素质!D:D,"=体育课程成绩",体育素质!E:E,"=体育成绩")/40</f>
        <v>3.23</v>
      </c>
      <c r="M6" s="44">
        <f>SUMIFS(体育素质!L:L,体育素质!B:B,B6,体育素质!D:D,"=校内外体育竞赛")</f>
        <v>0</v>
      </c>
      <c r="N6" s="44">
        <f>SUMIFS(体育素质!L:L,体育素质!B:B,B6,体育素质!D:D,"=校内外体育活动",体育素质!E:E,"=早锻炼")</f>
        <v>0</v>
      </c>
      <c r="O6" s="44">
        <f>SUMIFS(体育素质!L:L,体育素质!B:B,B6,体育素质!D:D,"=校内外体育活动",体育素质!E:E,"=校园跑")</f>
        <v>0.67281250000000004</v>
      </c>
      <c r="P6" s="44">
        <f t="shared" si="2"/>
        <v>0.67281250000000004</v>
      </c>
      <c r="Q6" s="44">
        <f t="shared" si="3"/>
        <v>3.9028125</v>
      </c>
      <c r="R6" s="44">
        <f>MIN(0.5,SUMIFS(美育素质!L:L,美育素质!B:B,B6,美育素质!D:D,"=文化艺术实践"))</f>
        <v>0</v>
      </c>
      <c r="S6" s="44">
        <f>SUMIFS(美育素质!L:L,美育素质!B:B,B6,美育素质!D:D,"=校内外文化艺术竞赛")</f>
        <v>0</v>
      </c>
      <c r="T6" s="44">
        <f t="shared" si="4"/>
        <v>0</v>
      </c>
      <c r="U6" s="44">
        <f>MAX(0,SUMIFS(劳育素质!K:K,劳育素质!B:B,B6,劳育素质!D:D,"=劳动日常考核基础分")+SUMIFS(劳育素质!K:K,劳育素质!B:B,B6,劳育素质!D:D,"=活动与卫生加减分"))</f>
        <v>1.4827999999999999</v>
      </c>
      <c r="V6" s="50">
        <f>SUMIFS(劳育素质!K:K,劳育素质!B:B,B6,劳育素质!D:D,"=志愿服务",劳育素质!F:F,"=A类+B类")</f>
        <v>0</v>
      </c>
      <c r="W6" s="50">
        <f>MIN(0.5,SUMIFS(劳育素质!K:K,劳育素质!B:B,B6,劳育素质!D:D,"=志愿服务",劳育素质!F:F,"=C类"))</f>
        <v>0</v>
      </c>
      <c r="X6" s="50">
        <f t="shared" si="5"/>
        <v>0</v>
      </c>
      <c r="Y6" s="50">
        <f>SUMIFS(劳育素质!K:K,劳育素质!B:B,B6,劳育素质!D:D,"=实习实训")</f>
        <v>0</v>
      </c>
      <c r="Z6" s="50">
        <f t="shared" si="6"/>
        <v>1.4827999999999999</v>
      </c>
      <c r="AA6" s="50">
        <f>SUMIFS(创新与实践素质!L:L,创新与实践素质!B:B,B6,创新与实践素质!D:D,"=创新创业素质")</f>
        <v>0</v>
      </c>
      <c r="AB6" s="50">
        <f>SUMIFS(创新与实践素质!L:L,创新与实践素质!B:B,B6,创新与实践素质!D:D,"=水平考试")</f>
        <v>0</v>
      </c>
      <c r="AC6" s="50">
        <f>SUMIFS(创新与实践素质!L:L,创新与实践素质!B:B,B6,创新与实践素质!D:D,"=社会实践")</f>
        <v>0</v>
      </c>
      <c r="AD6" s="50">
        <f>_xlfn.MAXIFS(创新与实践素质!L:L,创新与实践素质!B:B,B6,创新与实践素质!D:D,"=社会工作能力（工作表现）",创新与实践素质!G:G,"=上学期")+_xlfn.MAXIFS(创新与实践素质!L:L,创新与实践素质!B:B,B6,创新与实践素质!D:D,"=社会工作能力（工作表现）",创新与实践素质!G:G,"=下学期")</f>
        <v>0</v>
      </c>
      <c r="AE6" s="50">
        <f t="shared" si="7"/>
        <v>0</v>
      </c>
      <c r="AF6" s="50">
        <f t="shared" si="8"/>
        <v>60.549612500000002</v>
      </c>
    </row>
    <row r="7" spans="1:32" x14ac:dyDescent="0.3">
      <c r="A7" s="45" t="s">
        <v>62</v>
      </c>
      <c r="B7" s="17" t="s">
        <v>18</v>
      </c>
      <c r="C7" s="17"/>
      <c r="D7" s="44">
        <f>SUMIFS(德育素质!H:H,德育素质!B:B,B7,德育素质!D:D,"=基本评定分")</f>
        <v>6</v>
      </c>
      <c r="E7" s="44">
        <f>MIN(2,SUMIFS(德育素质!H:H,德育素质!A:A,A7,德育素质!D:D,"=集体评定等级分",德育素质!E:E,"=班级考评等级")+SUMIFS(德育素质!H:H,德育素质!B:B,B7,德育素质!D:D,"=集体评定等级分"))</f>
        <v>0</v>
      </c>
      <c r="F7" s="44">
        <f>MIN(2,SUMIFS(德育素质!H:H,德育素质!B:B,B7,德育素质!D:D,"=社会责任记实分"))</f>
        <v>0</v>
      </c>
      <c r="G7" s="44">
        <f>SUMIFS(德育素质!H:H,德育素质!B:B,B7,德育素质!D:D,"=违纪违规扣分")</f>
        <v>0</v>
      </c>
      <c r="H7" s="44">
        <f>SUMIFS(德育素质!H:H,德育素质!B:B,B7,德育素质!D:D,"=荣誉称号加分")</f>
        <v>0</v>
      </c>
      <c r="I7" s="44">
        <f t="shared" si="0"/>
        <v>0</v>
      </c>
      <c r="J7" s="44">
        <f t="shared" si="1"/>
        <v>6</v>
      </c>
      <c r="K7" s="44">
        <f>(VLOOKUP(B7,智育素质!B:D,3,0)*10+50)*0.6</f>
        <v>52.397999999999996</v>
      </c>
      <c r="L7" s="44">
        <f>SUMIFS(体育素质!J:J,体育素质!B:B,B7,体育素质!D:D,"=体育课程成绩",体育素质!E:E,"=体育成绩")/40</f>
        <v>4.0999999999999996</v>
      </c>
      <c r="M7" s="44">
        <f>SUMIFS(体育素质!L:L,体育素质!B:B,B7,体育素质!D:D,"=校内外体育竞赛")</f>
        <v>0</v>
      </c>
      <c r="N7" s="44">
        <f>SUMIFS(体育素质!L:L,体育素质!B:B,B7,体育素质!D:D,"=校内外体育活动",体育素质!E:E,"=早锻炼")</f>
        <v>0</v>
      </c>
      <c r="O7" s="44">
        <f>SUMIFS(体育素质!L:L,体育素质!B:B,B7,体育素质!D:D,"=校内外体育活动",体育素质!E:E,"=校园跑")</f>
        <v>0.84697916666666695</v>
      </c>
      <c r="P7" s="44">
        <f t="shared" si="2"/>
        <v>0.84697916666666695</v>
      </c>
      <c r="Q7" s="44">
        <f t="shared" si="3"/>
        <v>4.9469791666666696</v>
      </c>
      <c r="R7" s="44">
        <f>MIN(0.5,SUMIFS(美育素质!L:L,美育素质!B:B,B7,美育素质!D:D,"=文化艺术实践"))</f>
        <v>0</v>
      </c>
      <c r="S7" s="44">
        <f>SUMIFS(美育素质!L:L,美育素质!B:B,B7,美育素质!D:D,"=校内外文化艺术竞赛")</f>
        <v>0</v>
      </c>
      <c r="T7" s="44">
        <f t="shared" si="4"/>
        <v>0</v>
      </c>
      <c r="U7" s="44">
        <f>MAX(0,SUMIFS(劳育素质!K:K,劳育素质!B:B,B7,劳育素质!D:D,"=劳动日常考核基础分")+SUMIFS(劳育素质!K:K,劳育素质!B:B,B7,劳育素质!D:D,"=活动与卫生加减分"))</f>
        <v>1.5185555555555501</v>
      </c>
      <c r="V7" s="50">
        <f>SUMIFS(劳育素质!K:K,劳育素质!B:B,B7,劳育素质!D:D,"=志愿服务",劳育素质!F:F,"=A类+B类")</f>
        <v>0</v>
      </c>
      <c r="W7" s="50">
        <f>MIN(0.5,SUMIFS(劳育素质!K:K,劳育素质!B:B,B7,劳育素质!D:D,"=志愿服务",劳育素质!F:F,"=C类"))</f>
        <v>0</v>
      </c>
      <c r="X7" s="50">
        <f t="shared" si="5"/>
        <v>0</v>
      </c>
      <c r="Y7" s="50">
        <f>SUMIFS(劳育素质!K:K,劳育素质!B:B,B7,劳育素质!D:D,"=实习实训")</f>
        <v>0</v>
      </c>
      <c r="Z7" s="50">
        <f t="shared" si="6"/>
        <v>1.5185555555555501</v>
      </c>
      <c r="AA7" s="50">
        <f>SUMIFS(创新与实践素质!L:L,创新与实践素质!B:B,B7,创新与实践素质!D:D,"=创新创业素质")</f>
        <v>0</v>
      </c>
      <c r="AB7" s="50">
        <f>SUMIFS(创新与实践素质!L:L,创新与实践素质!B:B,B7,创新与实践素质!D:D,"=水平考试")</f>
        <v>0</v>
      </c>
      <c r="AC7" s="50">
        <f>SUMIFS(创新与实践素质!L:L,创新与实践素质!B:B,B7,创新与实践素质!D:D,"=社会实践")</f>
        <v>0</v>
      </c>
      <c r="AD7" s="50">
        <f>_xlfn.MAXIFS(创新与实践素质!L:L,创新与实践素质!B:B,B7,创新与实践素质!D:D,"=社会工作能力（工作表现）",创新与实践素质!G:G,"=上学期")+_xlfn.MAXIFS(创新与实践素质!L:L,创新与实践素质!B:B,B7,创新与实践素质!D:D,"=社会工作能力（工作表现）",创新与实践素质!G:G,"=下学期")</f>
        <v>0.6</v>
      </c>
      <c r="AE7" s="50">
        <f t="shared" si="7"/>
        <v>0.6</v>
      </c>
      <c r="AF7" s="50">
        <f t="shared" si="8"/>
        <v>65.463534722222221</v>
      </c>
    </row>
    <row r="8" spans="1:32" x14ac:dyDescent="0.3">
      <c r="A8" s="21" t="s">
        <v>63</v>
      </c>
      <c r="B8" s="17" t="s">
        <v>12</v>
      </c>
      <c r="C8" s="17"/>
      <c r="D8" s="44">
        <f>SUMIFS(德育素质!H:H,德育素质!B:B,B8,德育素质!D:D,"=基本评定分")</f>
        <v>6</v>
      </c>
      <c r="E8" s="44">
        <f>MIN(2,SUMIFS(德育素质!H:H,德育素质!A:A,A8,德育素质!D:D,"=集体评定等级分",德育素质!E:E,"=班级考评等级")+SUMIFS(德育素质!H:H,德育素质!B:B,B8,德育素质!D:D,"=集体评定等级分"))</f>
        <v>0</v>
      </c>
      <c r="F8" s="44">
        <f>MIN(2,SUMIFS(德育素质!H:H,德育素质!B:B,B8,德育素质!D:D,"=社会责任记实分"))</f>
        <v>0</v>
      </c>
      <c r="G8" s="44">
        <f>SUMIFS(德育素质!H:H,德育素质!B:B,B8,德育素质!D:D,"=违纪违规扣分")</f>
        <v>0</v>
      </c>
      <c r="H8" s="44">
        <f>SUMIFS(德育素质!H:H,德育素质!B:B,B8,德育素质!D:D,"=荣誉称号加分")</f>
        <v>0.375</v>
      </c>
      <c r="I8" s="44">
        <f t="shared" si="0"/>
        <v>0.375</v>
      </c>
      <c r="J8" s="44">
        <f t="shared" si="1"/>
        <v>6.375</v>
      </c>
      <c r="K8" s="44">
        <f>(VLOOKUP(B8,智育素质!B:D,3,0)*10+50)*0.6</f>
        <v>53.003999999999998</v>
      </c>
      <c r="L8" s="44">
        <f>SUMIFS(体育素质!J:J,体育素质!B:B,B8,体育素质!D:D,"=体育课程成绩",体育素质!E:E,"=体育成绩")/40</f>
        <v>3.54</v>
      </c>
      <c r="M8" s="44">
        <f>SUMIFS(体育素质!L:L,体育素质!B:B,B8,体育素质!D:D,"=校内外体育竞赛")</f>
        <v>0</v>
      </c>
      <c r="N8" s="44">
        <f>SUMIFS(体育素质!L:L,体育素质!B:B,B8,体育素质!D:D,"=校内外体育活动",体育素质!E:E,"=早锻炼")</f>
        <v>0</v>
      </c>
      <c r="O8" s="44">
        <f>SUMIFS(体育素质!L:L,体育素质!B:B,B8,体育素质!D:D,"=校内外体育活动",体育素质!E:E,"=校园跑")</f>
        <v>0.62640625000000005</v>
      </c>
      <c r="P8" s="44">
        <f t="shared" si="2"/>
        <v>0.62640625000000005</v>
      </c>
      <c r="Q8" s="44">
        <f t="shared" si="3"/>
        <v>4.1664062499999996</v>
      </c>
      <c r="R8" s="44">
        <f>MIN(0.5,SUMIFS(美育素质!L:L,美育素质!B:B,B8,美育素质!D:D,"=文化艺术实践"))</f>
        <v>0</v>
      </c>
      <c r="S8" s="44">
        <f>SUMIFS(美育素质!L:L,美育素质!B:B,B8,美育素质!D:D,"=校内外文化艺术竞赛")</f>
        <v>0.5</v>
      </c>
      <c r="T8" s="44">
        <f t="shared" si="4"/>
        <v>0.5</v>
      </c>
      <c r="U8" s="44">
        <f>MAX(0,SUMIFS(劳育素质!K:K,劳育素质!B:B,B8,劳育素质!D:D,"=劳动日常考核基础分")+SUMIFS(劳育素质!K:K,劳育素质!B:B,B8,劳育素质!D:D,"=活动与卫生加减分"))</f>
        <v>1.4827999999999999</v>
      </c>
      <c r="V8" s="50">
        <f>SUMIFS(劳育素质!K:K,劳育素质!B:B,B8,劳育素质!D:D,"=志愿服务",劳育素质!F:F,"=A类+B类")</f>
        <v>0.47499999999999998</v>
      </c>
      <c r="W8" s="50">
        <f>MIN(0.5,SUMIFS(劳育素质!K:K,劳育素质!B:B,B8,劳育素质!D:D,"=志愿服务",劳育素质!F:F,"=C类"))</f>
        <v>0</v>
      </c>
      <c r="X8" s="50">
        <f t="shared" si="5"/>
        <v>0.47499999999999998</v>
      </c>
      <c r="Y8" s="50">
        <f>SUMIFS(劳育素质!K:K,劳育素质!B:B,B8,劳育素质!D:D,"=实习实训")</f>
        <v>0</v>
      </c>
      <c r="Z8" s="50">
        <f t="shared" si="6"/>
        <v>1.9578</v>
      </c>
      <c r="AA8" s="50">
        <f>SUMIFS(创新与实践素质!L:L,创新与实践素质!B:B,B8,创新与实践素质!D:D,"=创新创业素质")</f>
        <v>10.25</v>
      </c>
      <c r="AB8" s="50">
        <f>SUMIFS(创新与实践素质!L:L,创新与实践素质!B:B,B8,创新与实践素质!D:D,"=水平考试")</f>
        <v>0.81799999999999995</v>
      </c>
      <c r="AC8" s="50">
        <f>SUMIFS(创新与实践素质!L:L,创新与实践素质!B:B,B8,创新与实践素质!D:D,"=社会实践")</f>
        <v>0</v>
      </c>
      <c r="AD8" s="50">
        <f>_xlfn.MAXIFS(创新与实践素质!L:L,创新与实践素质!B:B,B8,创新与实践素质!D:D,"=社会工作能力（工作表现）",创新与实践素质!G:G,"=上学期")+_xlfn.MAXIFS(创新与实践素质!L:L,创新与实践素质!B:B,B8,创新与实践素质!D:D,"=社会工作能力（工作表现）",创新与实践素质!G:G,"=下学期")</f>
        <v>0</v>
      </c>
      <c r="AE8" s="50">
        <f t="shared" si="7"/>
        <v>11.068</v>
      </c>
      <c r="AF8" s="50">
        <f t="shared" si="8"/>
        <v>77.071206249999989</v>
      </c>
    </row>
    <row r="9" spans="1:32" x14ac:dyDescent="0.3">
      <c r="A9" s="21" t="s">
        <v>64</v>
      </c>
      <c r="B9" s="17" t="s">
        <v>17</v>
      </c>
      <c r="C9" s="17"/>
      <c r="D9" s="44">
        <f>SUMIFS(德育素质!H:H,德育素质!B:B,B9,德育素质!D:D,"=基本评定分")</f>
        <v>5.28</v>
      </c>
      <c r="E9" s="44">
        <f>MIN(2,SUMIFS(德育素质!H:H,德育素质!A:A,A9,德育素质!D:D,"=集体评定等级分",德育素质!E:E,"=班级考评等级")+SUMIFS(德育素质!H:H,德育素质!B:B,B9,德育素质!D:D,"=集体评定等级分"))</f>
        <v>0</v>
      </c>
      <c r="F9" s="44">
        <f>MIN(2,SUMIFS(德育素质!H:H,德育素质!B:B,B9,德育素质!D:D,"=社会责任记实分"))</f>
        <v>0</v>
      </c>
      <c r="G9" s="44">
        <f>SUMIFS(德育素质!H:H,德育素质!B:B,B9,德育素质!D:D,"=违纪违规扣分")</f>
        <v>0</v>
      </c>
      <c r="H9" s="44">
        <f>SUMIFS(德育素质!H:H,德育素质!B:B,B9,德育素质!D:D,"=荣誉称号加分")</f>
        <v>0</v>
      </c>
      <c r="I9" s="44">
        <f t="shared" si="0"/>
        <v>0</v>
      </c>
      <c r="J9" s="44">
        <f t="shared" si="1"/>
        <v>5.28</v>
      </c>
      <c r="K9" s="44">
        <f>(VLOOKUP(B9,智育素质!B:D,3,0)*10+50)*0.6</f>
        <v>51.12</v>
      </c>
      <c r="L9" s="44">
        <f>SUMIFS(体育素质!J:J,体育素质!B:B,B9,体育素质!D:D,"=体育课程成绩",体育素质!E:E,"=体育成绩")/40</f>
        <v>3.26</v>
      </c>
      <c r="M9" s="44">
        <f>SUMIFS(体育素质!L:L,体育素质!B:B,B9,体育素质!D:D,"=校内外体育竞赛")</f>
        <v>0</v>
      </c>
      <c r="N9" s="44">
        <f>SUMIFS(体育素质!L:L,体育素质!B:B,B9,体育素质!D:D,"=校内外体育活动",体育素质!E:E,"=早锻炼")</f>
        <v>0</v>
      </c>
      <c r="O9" s="44">
        <f>SUMIFS(体育素质!L:L,体育素质!B:B,B9,体育素质!D:D,"=校内外体育活动",体育素质!E:E,"=校园跑")</f>
        <v>0.62587499999999996</v>
      </c>
      <c r="P9" s="44">
        <f t="shared" si="2"/>
        <v>0.62587499999999996</v>
      </c>
      <c r="Q9" s="44">
        <f t="shared" si="3"/>
        <v>3.885875</v>
      </c>
      <c r="R9" s="44">
        <f>MIN(0.5,SUMIFS(美育素质!L:L,美育素质!B:B,B9,美育素质!D:D,"=文化艺术实践"))</f>
        <v>0</v>
      </c>
      <c r="S9" s="44">
        <f>SUMIFS(美育素质!L:L,美育素质!B:B,B9,美育素质!D:D,"=校内外文化艺术竞赛")</f>
        <v>0</v>
      </c>
      <c r="T9" s="44">
        <f t="shared" si="4"/>
        <v>0</v>
      </c>
      <c r="U9" s="44">
        <f>MAX(0,SUMIFS(劳育素质!K:K,劳育素质!B:B,B9,劳育素质!D:D,"=劳动日常考核基础分")+SUMIFS(劳育素质!K:K,劳育素质!B:B,B9,劳育素质!D:D,"=活动与卫生加减分"))</f>
        <v>1.5294000000000001</v>
      </c>
      <c r="V9" s="50">
        <f>SUMIFS(劳育素质!K:K,劳育素质!B:B,B9,劳育素质!D:D,"=志愿服务",劳育素质!F:F,"=A类+B类")</f>
        <v>0.15</v>
      </c>
      <c r="W9" s="50">
        <f>MIN(0.5,SUMIFS(劳育素质!K:K,劳育素质!B:B,B9,劳育素质!D:D,"=志愿服务",劳育素质!F:F,"=C类"))</f>
        <v>0</v>
      </c>
      <c r="X9" s="50">
        <f t="shared" si="5"/>
        <v>0.15</v>
      </c>
      <c r="Y9" s="50">
        <f>SUMIFS(劳育素质!K:K,劳育素质!B:B,B9,劳育素质!D:D,"=实习实训")</f>
        <v>0</v>
      </c>
      <c r="Z9" s="50">
        <f t="shared" si="6"/>
        <v>1.6794</v>
      </c>
      <c r="AA9" s="50">
        <f>SUMIFS(创新与实践素质!L:L,创新与实践素质!B:B,B9,创新与实践素质!D:D,"=创新创业素质")</f>
        <v>0</v>
      </c>
      <c r="AB9" s="50">
        <f>SUMIFS(创新与实践素质!L:L,创新与实践素质!B:B,B9,创新与实践素质!D:D,"=水平考试")</f>
        <v>0</v>
      </c>
      <c r="AC9" s="50">
        <f>SUMIFS(创新与实践素质!L:L,创新与实践素质!B:B,B9,创新与实践素质!D:D,"=社会实践")</f>
        <v>0</v>
      </c>
      <c r="AD9" s="50">
        <f>_xlfn.MAXIFS(创新与实践素质!L:L,创新与实践素质!B:B,B9,创新与实践素质!D:D,"=社会工作能力（工作表现）",创新与实践素质!G:G,"=上学期")+_xlfn.MAXIFS(创新与实践素质!L:L,创新与实践素质!B:B,B9,创新与实践素质!D:D,"=社会工作能力（工作表现）",创新与实践素质!G:G,"=下学期")</f>
        <v>0.6</v>
      </c>
      <c r="AE9" s="50">
        <f t="shared" si="7"/>
        <v>0.6</v>
      </c>
      <c r="AF9" s="50">
        <f t="shared" si="8"/>
        <v>62.565275</v>
      </c>
    </row>
    <row r="10" spans="1:32" x14ac:dyDescent="0.3">
      <c r="A10" s="21" t="s">
        <v>65</v>
      </c>
      <c r="B10" s="17" t="s">
        <v>11</v>
      </c>
      <c r="C10" s="17"/>
      <c r="D10" s="44">
        <f>SUMIFS(德育素质!H:H,德育素质!B:B,B10,德育素质!D:D,"=基本评定分")</f>
        <v>6</v>
      </c>
      <c r="E10" s="44">
        <f>MIN(2,SUMIFS(德育素质!H:H,德育素质!A:A,A10,德育素质!D:D,"=集体评定等级分",德育素质!E:E,"=班级考评等级")+SUMIFS(德育素质!H:H,德育素质!B:B,B10,德育素质!D:D,"=集体评定等级分"))</f>
        <v>0</v>
      </c>
      <c r="F10" s="44">
        <f>MIN(2,SUMIFS(德育素质!H:H,德育素质!B:B,B10,德育素质!D:D,"=社会责任记实分"))</f>
        <v>0.1</v>
      </c>
      <c r="G10" s="44">
        <f>SUMIFS(德育素质!H:H,德育素质!B:B,B10,德育素质!D:D,"=违纪违规扣分")</f>
        <v>0</v>
      </c>
      <c r="H10" s="44">
        <f>SUMIFS(德育素质!H:H,德育素质!B:B,B10,德育素质!D:D,"=荣誉称号加分")</f>
        <v>0</v>
      </c>
      <c r="I10" s="44">
        <f t="shared" si="0"/>
        <v>0.1</v>
      </c>
      <c r="J10" s="44">
        <f t="shared" si="1"/>
        <v>6.1</v>
      </c>
      <c r="K10" s="44">
        <f>(VLOOKUP(B10,智育素质!B:D,3,0)*10+50)*0.6</f>
        <v>52.997999999999998</v>
      </c>
      <c r="L10" s="44">
        <f>SUMIFS(体育素质!J:J,体育素质!B:B,B10,体育素质!D:D,"=体育课程成绩",体育素质!E:E,"=体育成绩")/40</f>
        <v>3.7450000000000001</v>
      </c>
      <c r="M10" s="44">
        <f>SUMIFS(体育素质!L:L,体育素质!B:B,B10,体育素质!D:D,"=校内外体育竞赛")</f>
        <v>0</v>
      </c>
      <c r="N10" s="44">
        <f>SUMIFS(体育素质!L:L,体育素质!B:B,B10,体育素质!D:D,"=校内外体育活动",体育素质!E:E,"=早锻炼")</f>
        <v>0</v>
      </c>
      <c r="O10" s="44">
        <f>SUMIFS(体育素质!L:L,体育素质!B:B,B10,体育素质!D:D,"=校内外体育活动",体育素质!E:E,"=校园跑")</f>
        <v>0.70072916666666696</v>
      </c>
      <c r="P10" s="44">
        <f t="shared" si="2"/>
        <v>0.70072916666666696</v>
      </c>
      <c r="Q10" s="44">
        <f t="shared" si="3"/>
        <v>4.4457291666666698</v>
      </c>
      <c r="R10" s="44">
        <f>MIN(0.5,SUMIFS(美育素质!L:L,美育素质!B:B,B10,美育素质!D:D,"=文化艺术实践"))</f>
        <v>0</v>
      </c>
      <c r="S10" s="44">
        <f>SUMIFS(美育素质!L:L,美育素质!B:B,B10,美育素质!D:D,"=校内外文化艺术竞赛")</f>
        <v>0.25</v>
      </c>
      <c r="T10" s="44">
        <f t="shared" si="4"/>
        <v>0.25</v>
      </c>
      <c r="U10" s="44">
        <f>MAX(0,SUMIFS(劳育素质!K:K,劳育素质!B:B,B10,劳育素质!D:D,"=劳动日常考核基础分")+SUMIFS(劳育素质!K:K,劳育素质!B:B,B10,劳育素质!D:D,"=活动与卫生加减分"))</f>
        <v>1.5185555555555501</v>
      </c>
      <c r="V10" s="50">
        <f>SUMIFS(劳育素质!K:K,劳育素质!B:B,B10,劳育素质!D:D,"=志愿服务",劳育素质!F:F,"=A类+B类")</f>
        <v>1.7</v>
      </c>
      <c r="W10" s="50">
        <f>MIN(0.5,SUMIFS(劳育素质!K:K,劳育素质!B:B,B10,劳育素质!D:D,"=志愿服务",劳育素质!F:F,"=C类"))</f>
        <v>0</v>
      </c>
      <c r="X10" s="50">
        <f t="shared" si="5"/>
        <v>1.7</v>
      </c>
      <c r="Y10" s="50">
        <f>SUMIFS(劳育素质!K:K,劳育素质!B:B,B10,劳育素质!D:D,"=实习实训")</f>
        <v>0</v>
      </c>
      <c r="Z10" s="50">
        <f t="shared" si="6"/>
        <v>3.2185555555555498</v>
      </c>
      <c r="AA10" s="50">
        <f>SUMIFS(创新与实践素质!L:L,创新与实践素质!B:B,B10,创新与实践素质!D:D,"=创新创业素质")</f>
        <v>4.2</v>
      </c>
      <c r="AB10" s="50">
        <f>SUMIFS(创新与实践素质!L:L,创新与实践素质!B:B,B10,创新与实践素质!D:D,"=水平考试")</f>
        <v>2.5</v>
      </c>
      <c r="AC10" s="50">
        <f>SUMIFS(创新与实践素质!L:L,创新与实践素质!B:B,B10,创新与实践素质!D:D,"=社会实践")</f>
        <v>0</v>
      </c>
      <c r="AD10" s="50">
        <f>_xlfn.MAXIFS(创新与实践素质!L:L,创新与实践素质!B:B,B10,创新与实践素质!D:D,"=社会工作能力（工作表现）",创新与实践素质!G:G,"=上学期")+_xlfn.MAXIFS(创新与实践素质!L:L,创新与实践素质!B:B,B10,创新与实践素质!D:D,"=社会工作能力（工作表现）",创新与实践素质!G:G,"=下学期")</f>
        <v>2</v>
      </c>
      <c r="AE10" s="50">
        <f t="shared" si="7"/>
        <v>8.6999999999999993</v>
      </c>
      <c r="AF10" s="50">
        <f t="shared" si="8"/>
        <v>75.712284722222208</v>
      </c>
    </row>
    <row r="11" spans="1:32" x14ac:dyDescent="0.3">
      <c r="A11" s="21" t="s">
        <v>66</v>
      </c>
      <c r="B11" s="17" t="s">
        <v>20</v>
      </c>
      <c r="C11" s="17"/>
      <c r="D11" s="44">
        <f>SUMIFS(德育素质!H:H,德育素质!B:B,B11,德育素质!D:D,"=基本评定分")</f>
        <v>5.28</v>
      </c>
      <c r="E11" s="44">
        <f>MIN(2,SUMIFS(德育素质!H:H,德育素质!A:A,A11,德育素质!D:D,"=集体评定等级分",德育素质!E:E,"=班级考评等级")+SUMIFS(德育素质!H:H,德育素质!B:B,B11,德育素质!D:D,"=集体评定等级分"))</f>
        <v>0</v>
      </c>
      <c r="F11" s="44">
        <f>MIN(2,SUMIFS(德育素质!H:H,德育素质!B:B,B11,德育素质!D:D,"=社会责任记实分"))</f>
        <v>0</v>
      </c>
      <c r="G11" s="44">
        <f>SUMIFS(德育素质!H:H,德育素质!B:B,B11,德育素质!D:D,"=违纪违规扣分")</f>
        <v>0</v>
      </c>
      <c r="H11" s="44">
        <f>SUMIFS(德育素质!H:H,德育素质!B:B,B11,德育素质!D:D,"=荣誉称号加分")</f>
        <v>0</v>
      </c>
      <c r="I11" s="44">
        <f t="shared" si="0"/>
        <v>0</v>
      </c>
      <c r="J11" s="44">
        <f t="shared" si="1"/>
        <v>5.28</v>
      </c>
      <c r="K11" s="44">
        <f>(VLOOKUP(B11,智育素质!B:D,3,0)*10+50)*0.6</f>
        <v>51.6</v>
      </c>
      <c r="L11" s="44">
        <f>SUMIFS(体育素质!J:J,体育素质!B:B,B11,体育素质!D:D,"=体育课程成绩",体育素质!E:E,"=体育成绩")/40</f>
        <v>3.84</v>
      </c>
      <c r="M11" s="44">
        <f>SUMIFS(体育素质!L:L,体育素质!B:B,B11,体育素质!D:D,"=校内外体育竞赛")</f>
        <v>0</v>
      </c>
      <c r="N11" s="44">
        <f>SUMIFS(体育素质!L:L,体育素质!B:B,B11,体育素质!D:D,"=校内外体育活动",体育素质!E:E,"=早锻炼")</f>
        <v>0</v>
      </c>
      <c r="O11" s="44">
        <f>SUMIFS(体育素质!L:L,体育素质!B:B,B11,体育素质!D:D,"=校内外体育活动",体育素质!E:E,"=校园跑")</f>
        <v>1</v>
      </c>
      <c r="P11" s="44">
        <f t="shared" si="2"/>
        <v>1</v>
      </c>
      <c r="Q11" s="44">
        <f t="shared" si="3"/>
        <v>4.84</v>
      </c>
      <c r="R11" s="44">
        <f>MIN(0.5,SUMIFS(美育素质!L:L,美育素质!B:B,B11,美育素质!D:D,"=文化艺术实践"))</f>
        <v>0</v>
      </c>
      <c r="S11" s="44">
        <f>SUMIFS(美育素质!L:L,美育素质!B:B,B11,美育素质!D:D,"=校内外文化艺术竞赛")</f>
        <v>0</v>
      </c>
      <c r="T11" s="44">
        <f t="shared" si="4"/>
        <v>0</v>
      </c>
      <c r="U11" s="44">
        <f>MAX(0,SUMIFS(劳育素质!K:K,劳育素质!B:B,B11,劳育素质!D:D,"=劳动日常考核基础分")+SUMIFS(劳育素质!K:K,劳育素质!B:B,B11,劳育素质!D:D,"=活动与卫生加减分"))</f>
        <v>1.5185555555555501</v>
      </c>
      <c r="V11" s="50">
        <f>SUMIFS(劳育素质!K:K,劳育素质!B:B,B11,劳育素质!D:D,"=志愿服务",劳育素质!F:F,"=A类+B类")</f>
        <v>0</v>
      </c>
      <c r="W11" s="50">
        <f>MIN(0.5,SUMIFS(劳育素质!K:K,劳育素质!B:B,B11,劳育素质!D:D,"=志愿服务",劳育素质!F:F,"=C类"))</f>
        <v>0</v>
      </c>
      <c r="X11" s="50">
        <f t="shared" si="5"/>
        <v>0</v>
      </c>
      <c r="Y11" s="50">
        <f>SUMIFS(劳育素质!K:K,劳育素质!B:B,B11,劳育素质!D:D,"=实习实训")</f>
        <v>0</v>
      </c>
      <c r="Z11" s="50">
        <f t="shared" si="6"/>
        <v>1.5185555555555501</v>
      </c>
      <c r="AA11" s="50">
        <f>SUMIFS(创新与实践素质!L:L,创新与实践素质!B:B,B11,创新与实践素质!D:D,"=创新创业素质")</f>
        <v>0.5</v>
      </c>
      <c r="AB11" s="50">
        <f>SUMIFS(创新与实践素质!L:L,创新与实践素质!B:B,B11,创新与实践素质!D:D,"=水平考试")</f>
        <v>0</v>
      </c>
      <c r="AC11" s="50">
        <f>SUMIFS(创新与实践素质!L:L,创新与实践素质!B:B,B11,创新与实践素质!D:D,"=社会实践")</f>
        <v>0</v>
      </c>
      <c r="AD11" s="50">
        <f>_xlfn.MAXIFS(创新与实践素质!L:L,创新与实践素质!B:B,B11,创新与实践素质!D:D,"=社会工作能力（工作表现）",创新与实践素质!G:G,"=上学期")+_xlfn.MAXIFS(创新与实践素质!L:L,创新与实践素质!B:B,B11,创新与实践素质!D:D,"=社会工作能力（工作表现）",创新与实践素质!G:G,"=下学期")</f>
        <v>0</v>
      </c>
      <c r="AE11" s="50">
        <f t="shared" si="7"/>
        <v>0.5</v>
      </c>
      <c r="AF11" s="50">
        <f t="shared" si="8"/>
        <v>63.73855555555555</v>
      </c>
    </row>
    <row r="12" spans="1:32" x14ac:dyDescent="0.3">
      <c r="A12" s="21" t="s">
        <v>67</v>
      </c>
      <c r="B12" s="17" t="s">
        <v>24</v>
      </c>
      <c r="C12" s="17"/>
      <c r="D12" s="44">
        <f>SUMIFS(德育素质!H:H,德育素质!B:B,B12,德育素质!D:D,"=基本评定分")</f>
        <v>5.28</v>
      </c>
      <c r="E12" s="44">
        <f>MIN(2,SUMIFS(德育素质!H:H,德育素质!A:A,A12,德育素质!D:D,"=集体评定等级分",德育素质!E:E,"=班级考评等级")+SUMIFS(德育素质!H:H,德育素质!B:B,B12,德育素质!D:D,"=集体评定等级分"))</f>
        <v>0</v>
      </c>
      <c r="F12" s="44">
        <f>MIN(2,SUMIFS(德育素质!H:H,德育素质!B:B,B12,德育素质!D:D,"=社会责任记实分"))</f>
        <v>0</v>
      </c>
      <c r="G12" s="44">
        <f>SUMIFS(德育素质!H:H,德育素质!B:B,B12,德育素质!D:D,"=违纪违规扣分")</f>
        <v>0</v>
      </c>
      <c r="H12" s="44">
        <f>SUMIFS(德育素质!H:H,德育素质!B:B,B12,德育素质!D:D,"=荣誉称号加分")</f>
        <v>0</v>
      </c>
      <c r="I12" s="44">
        <f t="shared" si="0"/>
        <v>0</v>
      </c>
      <c r="J12" s="44">
        <f t="shared" si="1"/>
        <v>5.28</v>
      </c>
      <c r="K12" s="44">
        <f>(VLOOKUP(B12,智育素质!B:D,3,0)*10+50)*0.6</f>
        <v>47.76</v>
      </c>
      <c r="L12" s="44">
        <f>SUMIFS(体育素质!J:J,体育素质!B:B,B12,体育素质!D:D,"=体育课程成绩",体育素质!E:E,"=体育成绩")/40</f>
        <v>3.3</v>
      </c>
      <c r="M12" s="44">
        <f>SUMIFS(体育素质!L:L,体育素质!B:B,B12,体育素质!D:D,"=校内外体育竞赛")</f>
        <v>0.05</v>
      </c>
      <c r="N12" s="44">
        <f>SUMIFS(体育素质!L:L,体育素质!B:B,B12,体育素质!D:D,"=校内外体育活动",体育素质!E:E,"=早锻炼")</f>
        <v>0</v>
      </c>
      <c r="O12" s="44">
        <f>SUMIFS(体育素质!L:L,体育素质!B:B,B12,体育素质!D:D,"=校内外体育活动",体育素质!E:E,"=校园跑")</f>
        <v>0</v>
      </c>
      <c r="P12" s="44">
        <f t="shared" si="2"/>
        <v>0.05</v>
      </c>
      <c r="Q12" s="44">
        <f t="shared" si="3"/>
        <v>3.35</v>
      </c>
      <c r="R12" s="44">
        <f>MIN(0.5,SUMIFS(美育素质!L:L,美育素质!B:B,B12,美育素质!D:D,"=文化艺术实践"))</f>
        <v>0</v>
      </c>
      <c r="S12" s="44">
        <f>SUMIFS(美育素质!L:L,美育素质!B:B,B12,美育素质!D:D,"=校内外文化艺术竞赛")</f>
        <v>0</v>
      </c>
      <c r="T12" s="44">
        <f t="shared" si="4"/>
        <v>0</v>
      </c>
      <c r="U12" s="44">
        <f>MAX(0,SUMIFS(劳育素质!K:K,劳育素质!B:B,B12,劳育素质!D:D,"=劳动日常考核基础分")+SUMIFS(劳育素质!K:K,劳育素质!B:B,B12,劳育素质!D:D,"=活动与卫生加减分"))</f>
        <v>1.446</v>
      </c>
      <c r="V12" s="50">
        <f>SUMIFS(劳育素质!K:K,劳育素质!B:B,B12,劳育素质!D:D,"=志愿服务",劳育素质!F:F,"=A类+B类")</f>
        <v>0</v>
      </c>
      <c r="W12" s="50">
        <f>MIN(0.5,SUMIFS(劳育素质!K:K,劳育素质!B:B,B12,劳育素质!D:D,"=志愿服务",劳育素质!F:F,"=C类"))</f>
        <v>0</v>
      </c>
      <c r="X12" s="50">
        <f t="shared" si="5"/>
        <v>0</v>
      </c>
      <c r="Y12" s="50">
        <f>SUMIFS(劳育素质!K:K,劳育素质!B:B,B12,劳育素质!D:D,"=实习实训")</f>
        <v>0</v>
      </c>
      <c r="Z12" s="50">
        <f t="shared" si="6"/>
        <v>1.446</v>
      </c>
      <c r="AA12" s="50">
        <f>SUMIFS(创新与实践素质!L:L,创新与实践素质!B:B,B12,创新与实践素质!D:D,"=创新创业素质")</f>
        <v>0</v>
      </c>
      <c r="AB12" s="50">
        <f>SUMIFS(创新与实践素质!L:L,创新与实践素质!B:B,B12,创新与实践素质!D:D,"=水平考试")</f>
        <v>0</v>
      </c>
      <c r="AC12" s="50">
        <f>SUMIFS(创新与实践素质!L:L,创新与实践素质!B:B,B12,创新与实践素质!D:D,"=社会实践")</f>
        <v>0</v>
      </c>
      <c r="AD12" s="50">
        <f>_xlfn.MAXIFS(创新与实践素质!L:L,创新与实践素质!B:B,B12,创新与实践素质!D:D,"=社会工作能力（工作表现）",创新与实践素质!G:G,"=上学期")+_xlfn.MAXIFS(创新与实践素质!L:L,创新与实践素质!B:B,B12,创新与实践素质!D:D,"=社会工作能力（工作表现）",创新与实践素质!G:G,"=下学期")</f>
        <v>0</v>
      </c>
      <c r="AE12" s="50">
        <f t="shared" si="7"/>
        <v>0</v>
      </c>
      <c r="AF12" s="50">
        <f t="shared" si="8"/>
        <v>57.835999999999999</v>
      </c>
    </row>
    <row r="13" spans="1:32" x14ac:dyDescent="0.3">
      <c r="A13" s="21" t="s">
        <v>68</v>
      </c>
      <c r="B13" s="17" t="s">
        <v>7</v>
      </c>
      <c r="C13" s="17"/>
      <c r="D13" s="44">
        <f>SUMIFS(德育素质!H:H,德育素质!B:B,B13,德育素质!D:D,"=基本评定分")</f>
        <v>5.28</v>
      </c>
      <c r="E13" s="44">
        <f>MIN(2,SUMIFS(德育素质!H:H,德育素质!A:A,A13,德育素质!D:D,"=集体评定等级分",德育素质!E:E,"=班级考评等级")+SUMIFS(德育素质!H:H,德育素质!B:B,B13,德育素质!D:D,"=集体评定等级分"))</f>
        <v>0</v>
      </c>
      <c r="F13" s="44">
        <f>MIN(2,SUMIFS(德育素质!H:H,德育素质!B:B,B13,德育素质!D:D,"=社会责任记实分"))</f>
        <v>0</v>
      </c>
      <c r="G13" s="44">
        <f>SUMIFS(德育素质!H:H,德育素质!B:B,B13,德育素质!D:D,"=违纪违规扣分")</f>
        <v>0</v>
      </c>
      <c r="H13" s="44">
        <f>SUMIFS(德育素质!H:H,德育素质!B:B,B13,德育素质!D:D,"=荣誉称号加分")</f>
        <v>0</v>
      </c>
      <c r="I13" s="44">
        <f t="shared" si="0"/>
        <v>0</v>
      </c>
      <c r="J13" s="44">
        <f t="shared" si="1"/>
        <v>5.28</v>
      </c>
      <c r="K13" s="44">
        <f>(VLOOKUP(B13,智育素质!B:D,3,0)*10+50)*0.6</f>
        <v>52.776000000000003</v>
      </c>
      <c r="L13" s="44">
        <f>SUMIFS(体育素质!J:J,体育素质!B:B,B13,体育素质!D:D,"=体育课程成绩",体育素质!E:E,"=体育成绩")/40</f>
        <v>3.63</v>
      </c>
      <c r="M13" s="44">
        <f>SUMIFS(体育素质!L:L,体育素质!B:B,B13,体育素质!D:D,"=校内外体育竞赛")</f>
        <v>0</v>
      </c>
      <c r="N13" s="44">
        <f>SUMIFS(体育素质!L:L,体育素质!B:B,B13,体育素质!D:D,"=校内外体育活动",体育素质!E:E,"=早锻炼")</f>
        <v>0</v>
      </c>
      <c r="O13" s="44">
        <f>SUMIFS(体育素质!L:L,体育素质!B:B,B13,体育素质!D:D,"=校内外体育活动",体育素质!E:E,"=校园跑")</f>
        <v>0.765625</v>
      </c>
      <c r="P13" s="44">
        <f t="shared" si="2"/>
        <v>0.765625</v>
      </c>
      <c r="Q13" s="44">
        <f t="shared" si="3"/>
        <v>4.3956249999999999</v>
      </c>
      <c r="R13" s="44">
        <f>MIN(0.5,SUMIFS(美育素质!L:L,美育素质!B:B,B13,美育素质!D:D,"=文化艺术实践"))</f>
        <v>0</v>
      </c>
      <c r="S13" s="44">
        <f>SUMIFS(美育素质!L:L,美育素质!B:B,B13,美育素质!D:D,"=校内外文化艺术竞赛")</f>
        <v>0</v>
      </c>
      <c r="T13" s="44">
        <f t="shared" si="4"/>
        <v>0</v>
      </c>
      <c r="U13" s="44">
        <f>MAX(0,SUMIFS(劳育素质!K:K,劳育素质!B:B,B13,劳育素质!D:D,"=劳动日常考核基础分")+SUMIFS(劳育素质!K:K,劳育素质!B:B,B13,劳育素质!D:D,"=活动与卫生加减分"))</f>
        <v>1.345</v>
      </c>
      <c r="V13" s="50">
        <f>SUMIFS(劳育素质!K:K,劳育素质!B:B,B13,劳育素质!D:D,"=志愿服务",劳育素质!F:F,"=A类+B类")</f>
        <v>0.55000000000000004</v>
      </c>
      <c r="W13" s="50">
        <f>MIN(0.5,SUMIFS(劳育素质!K:K,劳育素质!B:B,B13,劳育素质!D:D,"=志愿服务",劳育素质!F:F,"=C类"))</f>
        <v>0</v>
      </c>
      <c r="X13" s="50">
        <f t="shared" si="5"/>
        <v>0.55000000000000004</v>
      </c>
      <c r="Y13" s="50">
        <f>SUMIFS(劳育素质!K:K,劳育素质!B:B,B13,劳育素质!D:D,"=实习实训")</f>
        <v>0</v>
      </c>
      <c r="Z13" s="50">
        <f t="shared" si="6"/>
        <v>1.895</v>
      </c>
      <c r="AA13" s="50">
        <f>SUMIFS(创新与实践素质!L:L,创新与实践素质!B:B,B13,创新与实践素质!D:D,"=创新创业素质")</f>
        <v>15.5</v>
      </c>
      <c r="AB13" s="50">
        <f>SUMIFS(创新与实践素质!L:L,创新与实践素质!B:B,B13,创新与实践素质!D:D,"=水平考试")</f>
        <v>0</v>
      </c>
      <c r="AC13" s="50">
        <f>SUMIFS(创新与实践素质!L:L,创新与实践素质!B:B,B13,创新与实践素质!D:D,"=社会实践")</f>
        <v>0</v>
      </c>
      <c r="AD13" s="50">
        <f>_xlfn.MAXIFS(创新与实践素质!L:L,创新与实践素质!B:B,B13,创新与实践素质!D:D,"=社会工作能力（工作表现）",创新与实践素质!G:G,"=上学期")+_xlfn.MAXIFS(创新与实践素质!L:L,创新与实践素质!B:B,B13,创新与实践素质!D:D,"=社会工作能力（工作表现）",创新与实践素质!G:G,"=下学期")</f>
        <v>0</v>
      </c>
      <c r="AE13" s="50">
        <f t="shared" si="7"/>
        <v>12</v>
      </c>
      <c r="AF13" s="50">
        <f t="shared" si="8"/>
        <v>76.346625000000003</v>
      </c>
    </row>
    <row r="14" spans="1:32" x14ac:dyDescent="0.3">
      <c r="A14" s="21" t="s">
        <v>69</v>
      </c>
      <c r="B14" s="17" t="s">
        <v>13</v>
      </c>
      <c r="C14" s="17"/>
      <c r="D14" s="44">
        <f>SUMIFS(德育素质!H:H,德育素质!B:B,B14,德育素质!D:D,"=基本评定分")</f>
        <v>5.28</v>
      </c>
      <c r="E14" s="44">
        <f>MIN(2,SUMIFS(德育素质!H:H,德育素质!A:A,A14,德育素质!D:D,"=集体评定等级分",德育素质!E:E,"=班级考评等级")+SUMIFS(德育素质!H:H,德育素质!B:B,B14,德育素质!D:D,"=集体评定等级分"))</f>
        <v>0</v>
      </c>
      <c r="F14" s="44">
        <f>MIN(2,SUMIFS(德育素质!H:H,德育素质!B:B,B14,德育素质!D:D,"=社会责任记实分"))</f>
        <v>0</v>
      </c>
      <c r="G14" s="44">
        <f>SUMIFS(德育素质!H:H,德育素质!B:B,B14,德育素质!D:D,"=违纪违规扣分")</f>
        <v>0</v>
      </c>
      <c r="H14" s="44">
        <f>SUMIFS(德育素质!H:H,德育素质!B:B,B14,德育素质!D:D,"=荣誉称号加分")</f>
        <v>0</v>
      </c>
      <c r="I14" s="44">
        <f t="shared" si="0"/>
        <v>0</v>
      </c>
      <c r="J14" s="44">
        <f t="shared" si="1"/>
        <v>5.28</v>
      </c>
      <c r="K14" s="44">
        <f>(VLOOKUP(B14,智育素质!B:D,3,0)*10+50)*0.6</f>
        <v>51.695999999999998</v>
      </c>
      <c r="L14" s="44">
        <f>SUMIFS(体育素质!J:J,体育素质!B:B,B14,体育素质!D:D,"=体育课程成绩",体育素质!E:E,"=体育成绩")/40</f>
        <v>3.4049999999999998</v>
      </c>
      <c r="M14" s="44">
        <f>SUMIFS(体育素质!L:L,体育素质!B:B,B14,体育素质!D:D,"=校内外体育竞赛")</f>
        <v>0</v>
      </c>
      <c r="N14" s="44">
        <f>SUMIFS(体育素质!L:L,体育素质!B:B,B14,体育素质!D:D,"=校内外体育活动",体育素质!E:E,"=早锻炼")</f>
        <v>0</v>
      </c>
      <c r="O14" s="44">
        <f>SUMIFS(体育素质!L:L,体育素质!B:B,B14,体育素质!D:D,"=校内外体育活动",体育素质!E:E,"=校园跑")</f>
        <v>0.7421875</v>
      </c>
      <c r="P14" s="44">
        <f t="shared" si="2"/>
        <v>0.7421875</v>
      </c>
      <c r="Q14" s="44">
        <f t="shared" si="3"/>
        <v>4.1471875000000002</v>
      </c>
      <c r="R14" s="44">
        <f>MIN(0.5,SUMIFS(美育素质!L:L,美育素质!B:B,B14,美育素质!D:D,"=文化艺术实践"))</f>
        <v>0</v>
      </c>
      <c r="S14" s="44">
        <f>SUMIFS(美育素质!L:L,美育素质!B:B,B14,美育素质!D:D,"=校内外文化艺术竞赛")</f>
        <v>0</v>
      </c>
      <c r="T14" s="44">
        <f t="shared" si="4"/>
        <v>0</v>
      </c>
      <c r="U14" s="44">
        <f>MAX(0,SUMIFS(劳育素质!K:K,劳育素质!B:B,B14,劳育素质!D:D,"=劳动日常考核基础分")+SUMIFS(劳育素质!K:K,劳育素质!B:B,B14,劳育素质!D:D,"=活动与卫生加减分"))</f>
        <v>1.4663333333333299</v>
      </c>
      <c r="V14" s="50">
        <f>SUMIFS(劳育素质!K:K,劳育素质!B:B,B14,劳育素质!D:D,"=志愿服务",劳育素质!F:F,"=A类+B类")</f>
        <v>0</v>
      </c>
      <c r="W14" s="50">
        <f>MIN(0.5,SUMIFS(劳育素质!K:K,劳育素质!B:B,B14,劳育素质!D:D,"=志愿服务",劳育素质!F:F,"=C类"))</f>
        <v>0</v>
      </c>
      <c r="X14" s="50">
        <f t="shared" si="5"/>
        <v>0</v>
      </c>
      <c r="Y14" s="50">
        <f>SUMIFS(劳育素质!K:K,劳育素质!B:B,B14,劳育素质!D:D,"=实习实训")</f>
        <v>0</v>
      </c>
      <c r="Z14" s="50">
        <f t="shared" si="6"/>
        <v>1.4663333333333299</v>
      </c>
      <c r="AA14" s="50">
        <f>SUMIFS(创新与实践素质!L:L,创新与实践素质!B:B,B14,创新与实践素质!D:D,"=创新创业素质")</f>
        <v>0</v>
      </c>
      <c r="AB14" s="50">
        <f>SUMIFS(创新与实践素质!L:L,创新与实践素质!B:B,B14,创新与实践素质!D:D,"=水平考试")</f>
        <v>0</v>
      </c>
      <c r="AC14" s="50">
        <f>SUMIFS(创新与实践素质!L:L,创新与实践素质!B:B,B14,创新与实践素质!D:D,"=社会实践")</f>
        <v>0</v>
      </c>
      <c r="AD14" s="50">
        <f>_xlfn.MAXIFS(创新与实践素质!L:L,创新与实践素质!B:B,B14,创新与实践素质!D:D,"=社会工作能力（工作表现）",创新与实践素质!G:G,"=上学期")+_xlfn.MAXIFS(创新与实践素质!L:L,创新与实践素质!B:B,B14,创新与实践素质!D:D,"=社会工作能力（工作表现）",创新与实践素质!G:G,"=下学期")</f>
        <v>0</v>
      </c>
      <c r="AE14" s="50">
        <f t="shared" si="7"/>
        <v>0</v>
      </c>
      <c r="AF14" s="50">
        <f t="shared" si="8"/>
        <v>62.589520833333331</v>
      </c>
    </row>
    <row r="15" spans="1:32" x14ac:dyDescent="0.3">
      <c r="A15" s="21" t="s">
        <v>70</v>
      </c>
      <c r="B15" s="17" t="s">
        <v>14</v>
      </c>
      <c r="C15" s="17"/>
      <c r="D15" s="44">
        <f>SUMIFS(德育素质!H:H,德育素质!B:B,B15,德育素质!D:D,"=基本评定分")</f>
        <v>5.28</v>
      </c>
      <c r="E15" s="44">
        <f>MIN(2,SUMIFS(德育素质!H:H,德育素质!A:A,A15,德育素质!D:D,"=集体评定等级分",德育素质!E:E,"=班级考评等级")+SUMIFS(德育素质!H:H,德育素质!B:B,B15,德育素质!D:D,"=集体评定等级分"))</f>
        <v>0</v>
      </c>
      <c r="F15" s="44">
        <f>MIN(2,SUMIFS(德育素质!H:H,德育素质!B:B,B15,德育素质!D:D,"=社会责任记实分"))</f>
        <v>0</v>
      </c>
      <c r="G15" s="44">
        <f>SUMIFS(德育素质!H:H,德育素质!B:B,B15,德育素质!D:D,"=违纪违规扣分")</f>
        <v>0</v>
      </c>
      <c r="H15" s="44">
        <f>SUMIFS(德育素质!H:H,德育素质!B:B,B15,德育素质!D:D,"=荣誉称号加分")</f>
        <v>0</v>
      </c>
      <c r="I15" s="44">
        <f t="shared" si="0"/>
        <v>0</v>
      </c>
      <c r="J15" s="44">
        <f t="shared" si="1"/>
        <v>5.28</v>
      </c>
      <c r="K15" s="44">
        <f>(VLOOKUP(B15,智育素质!B:D,3,0)*10+50)*0.6</f>
        <v>48.744000000000007</v>
      </c>
      <c r="L15" s="44">
        <f>SUMIFS(体育素质!J:J,体育素质!B:B,B15,体育素质!D:D,"=体育课程成绩",体育素质!E:E,"=体育成绩")/40</f>
        <v>3.54</v>
      </c>
      <c r="M15" s="44">
        <f>SUMIFS(体育素质!L:L,体育素质!B:B,B15,体育素质!D:D,"=校内外体育竞赛")</f>
        <v>0</v>
      </c>
      <c r="N15" s="44">
        <f>SUMIFS(体育素质!L:L,体育素质!B:B,B15,体育素质!D:D,"=校内外体育活动",体育素质!E:E,"=早锻炼")</f>
        <v>0</v>
      </c>
      <c r="O15" s="44">
        <f>SUMIFS(体育素质!L:L,体育素质!B:B,B15,体育素质!D:D,"=校内外体育活动",体育素质!E:E,"=校园跑")</f>
        <v>0.765625</v>
      </c>
      <c r="P15" s="44">
        <f t="shared" si="2"/>
        <v>0.765625</v>
      </c>
      <c r="Q15" s="44">
        <f t="shared" si="3"/>
        <v>4.305625</v>
      </c>
      <c r="R15" s="44">
        <f>MIN(0.5,SUMIFS(美育素质!L:L,美育素质!B:B,B15,美育素质!D:D,"=文化艺术实践"))</f>
        <v>0</v>
      </c>
      <c r="S15" s="44">
        <f>SUMIFS(美育素质!L:L,美育素质!B:B,B15,美育素质!D:D,"=校内外文化艺术竞赛")</f>
        <v>0</v>
      </c>
      <c r="T15" s="44">
        <f t="shared" si="4"/>
        <v>0</v>
      </c>
      <c r="U15" s="44">
        <f>MAX(0,SUMIFS(劳育素质!K:K,劳育素质!B:B,B15,劳育素质!D:D,"=劳动日常考核基础分")+SUMIFS(劳育素质!K:K,劳育素质!B:B,B15,劳育素质!D:D,"=活动与卫生加减分"))</f>
        <v>1.4663333333333299</v>
      </c>
      <c r="V15" s="50">
        <f>SUMIFS(劳育素质!K:K,劳育素质!B:B,B15,劳育素质!D:D,"=志愿服务",劳育素质!F:F,"=A类+B类")</f>
        <v>0</v>
      </c>
      <c r="W15" s="50">
        <f>MIN(0.5,SUMIFS(劳育素质!K:K,劳育素质!B:B,B15,劳育素质!D:D,"=志愿服务",劳育素质!F:F,"=C类"))</f>
        <v>0</v>
      </c>
      <c r="X15" s="50">
        <f t="shared" si="5"/>
        <v>0</v>
      </c>
      <c r="Y15" s="50">
        <f>SUMIFS(劳育素质!K:K,劳育素质!B:B,B15,劳育素质!D:D,"=实习实训")</f>
        <v>0</v>
      </c>
      <c r="Z15" s="50">
        <f t="shared" si="6"/>
        <v>1.4663333333333299</v>
      </c>
      <c r="AA15" s="50">
        <f>SUMIFS(创新与实践素质!L:L,创新与实践素质!B:B,B15,创新与实践素质!D:D,"=创新创业素质")</f>
        <v>0</v>
      </c>
      <c r="AB15" s="50">
        <f>SUMIFS(创新与实践素质!L:L,创新与实践素质!B:B,B15,创新与实践素质!D:D,"=水平考试")</f>
        <v>0</v>
      </c>
      <c r="AC15" s="50">
        <f>SUMIFS(创新与实践素质!L:L,创新与实践素质!B:B,B15,创新与实践素质!D:D,"=社会实践")</f>
        <v>0</v>
      </c>
      <c r="AD15" s="50">
        <f>_xlfn.MAXIFS(创新与实践素质!L:L,创新与实践素质!B:B,B15,创新与实践素质!D:D,"=社会工作能力（工作表现）",创新与实践素质!G:G,"=上学期")+_xlfn.MAXIFS(创新与实践素质!L:L,创新与实践素质!B:B,B15,创新与实践素质!D:D,"=社会工作能力（工作表现）",创新与实践素质!G:G,"=下学期")</f>
        <v>0</v>
      </c>
      <c r="AE15" s="50">
        <f t="shared" si="7"/>
        <v>0</v>
      </c>
      <c r="AF15" s="50">
        <f t="shared" si="8"/>
        <v>59.795958333333338</v>
      </c>
    </row>
    <row r="16" spans="1:32" x14ac:dyDescent="0.3">
      <c r="A16" s="21" t="s">
        <v>71</v>
      </c>
      <c r="B16" s="17" t="s">
        <v>15</v>
      </c>
      <c r="C16" s="17"/>
      <c r="D16" s="44">
        <f>SUMIFS(德育素质!H:H,德育素质!B:B,B16,德育素质!D:D,"=基本评定分")</f>
        <v>5.28</v>
      </c>
      <c r="E16" s="44">
        <f>MIN(2,SUMIFS(德育素质!H:H,德育素质!A:A,A16,德育素质!D:D,"=集体评定等级分",德育素质!E:E,"=班级考评等级")+SUMIFS(德育素质!H:H,德育素质!B:B,B16,德育素质!D:D,"=集体评定等级分"))</f>
        <v>0</v>
      </c>
      <c r="F16" s="44">
        <f>MIN(2,SUMIFS(德育素质!H:H,德育素质!B:B,B16,德育素质!D:D,"=社会责任记实分"))</f>
        <v>0</v>
      </c>
      <c r="G16" s="44">
        <f>SUMIFS(德育素质!H:H,德育素质!B:B,B16,德育素质!D:D,"=违纪违规扣分")</f>
        <v>0</v>
      </c>
      <c r="H16" s="44">
        <f>SUMIFS(德育素质!H:H,德育素质!B:B,B16,德育素质!D:D,"=荣誉称号加分")</f>
        <v>0</v>
      </c>
      <c r="I16" s="44">
        <f t="shared" si="0"/>
        <v>0</v>
      </c>
      <c r="J16" s="44">
        <f t="shared" si="1"/>
        <v>5.28</v>
      </c>
      <c r="K16" s="44">
        <f>(VLOOKUP(B16,智育素质!B:D,3,0)*10+50)*0.6</f>
        <v>49.902000000000001</v>
      </c>
      <c r="L16" s="44">
        <f>SUMIFS(体育素质!J:J,体育素质!B:B,B16,体育素质!D:D,"=体育课程成绩",体育素质!E:E,"=体育成绩")/40</f>
        <v>3.64</v>
      </c>
      <c r="M16" s="44">
        <f>SUMIFS(体育素质!L:L,体育素质!B:B,B16,体育素质!D:D,"=校内外体育竞赛")</f>
        <v>0</v>
      </c>
      <c r="N16" s="44">
        <f>SUMIFS(体育素质!L:L,体育素质!B:B,B16,体育素质!D:D,"=校内外体育活动",体育素质!E:E,"=早锻炼")</f>
        <v>0</v>
      </c>
      <c r="O16" s="44">
        <f>SUMIFS(体育素质!L:L,体育素质!B:B,B16,体育素质!D:D,"=校内外体育活动",体育素质!E:E,"=校园跑")</f>
        <v>0.765625</v>
      </c>
      <c r="P16" s="44">
        <f t="shared" si="2"/>
        <v>0.765625</v>
      </c>
      <c r="Q16" s="44">
        <f t="shared" si="3"/>
        <v>4.4056249999999997</v>
      </c>
      <c r="R16" s="44">
        <f>MIN(0.5,SUMIFS(美育素质!L:L,美育素质!B:B,B16,美育素质!D:D,"=文化艺术实践"))</f>
        <v>0</v>
      </c>
      <c r="S16" s="44">
        <f>SUMIFS(美育素质!L:L,美育素质!B:B,B16,美育素质!D:D,"=校内外文化艺术竞赛")</f>
        <v>0</v>
      </c>
      <c r="T16" s="44">
        <f t="shared" si="4"/>
        <v>0</v>
      </c>
      <c r="U16" s="44">
        <f>MAX(0,SUMIFS(劳育素质!K:K,劳育素质!B:B,B16,劳育素质!D:D,"=劳动日常考核基础分")+SUMIFS(劳育素质!K:K,劳育素质!B:B,B16,劳育素质!D:D,"=活动与卫生加减分"))</f>
        <v>1.4663333333333299</v>
      </c>
      <c r="V16" s="50">
        <f>SUMIFS(劳育素质!K:K,劳育素质!B:B,B16,劳育素质!D:D,"=志愿服务",劳育素质!F:F,"=A类+B类")</f>
        <v>0</v>
      </c>
      <c r="W16" s="50">
        <f>MIN(0.5,SUMIFS(劳育素质!K:K,劳育素质!B:B,B16,劳育素质!D:D,"=志愿服务",劳育素质!F:F,"=C类"))</f>
        <v>0</v>
      </c>
      <c r="X16" s="50">
        <f t="shared" si="5"/>
        <v>0</v>
      </c>
      <c r="Y16" s="50">
        <f>SUMIFS(劳育素质!K:K,劳育素质!B:B,B16,劳育素质!D:D,"=实习实训")</f>
        <v>0</v>
      </c>
      <c r="Z16" s="50">
        <f t="shared" si="6"/>
        <v>1.4663333333333299</v>
      </c>
      <c r="AA16" s="50">
        <f>SUMIFS(创新与实践素质!L:L,创新与实践素质!B:B,B16,创新与实践素质!D:D,"=创新创业素质")</f>
        <v>0</v>
      </c>
      <c r="AB16" s="50">
        <f>SUMIFS(创新与实践素质!L:L,创新与实践素质!B:B,B16,创新与实践素质!D:D,"=水平考试")</f>
        <v>0</v>
      </c>
      <c r="AC16" s="50">
        <f>SUMIFS(创新与实践素质!L:L,创新与实践素质!B:B,B16,创新与实践素质!D:D,"=社会实践")</f>
        <v>0</v>
      </c>
      <c r="AD16" s="50">
        <f>_xlfn.MAXIFS(创新与实践素质!L:L,创新与实践素质!B:B,B16,创新与实践素质!D:D,"=社会工作能力（工作表现）",创新与实践素质!G:G,"=上学期")+_xlfn.MAXIFS(创新与实践素质!L:L,创新与实践素质!B:B,B16,创新与实践素质!D:D,"=社会工作能力（工作表现）",创新与实践素质!G:G,"=下学期")</f>
        <v>0</v>
      </c>
      <c r="AE16" s="50">
        <f t="shared" si="7"/>
        <v>0</v>
      </c>
      <c r="AF16" s="50">
        <f t="shared" si="8"/>
        <v>61.053958333333334</v>
      </c>
    </row>
    <row r="17" spans="1:32" x14ac:dyDescent="0.3">
      <c r="A17" s="21" t="s">
        <v>72</v>
      </c>
      <c r="B17" s="17" t="s">
        <v>9</v>
      </c>
      <c r="C17" s="17"/>
      <c r="D17" s="44">
        <f>SUMIFS(德育素质!H:H,德育素质!B:B,B17,德育素质!D:D,"=基本评定分")</f>
        <v>5.28</v>
      </c>
      <c r="E17" s="44">
        <f>MIN(2,SUMIFS(德育素质!H:H,德育素质!A:A,A17,德育素质!D:D,"=集体评定等级分",德育素质!E:E,"=班级考评等级")+SUMIFS(德育素质!H:H,德育素质!B:B,B17,德育素质!D:D,"=集体评定等级分"))</f>
        <v>0</v>
      </c>
      <c r="F17" s="44">
        <f>MIN(2,SUMIFS(德育素质!H:H,德育素质!B:B,B17,德育素质!D:D,"=社会责任记实分"))</f>
        <v>0</v>
      </c>
      <c r="G17" s="44">
        <f>SUMIFS(德育素质!H:H,德育素质!B:B,B17,德育素质!D:D,"=违纪违规扣分")</f>
        <v>0</v>
      </c>
      <c r="H17" s="44">
        <f>SUMIFS(德育素质!H:H,德育素质!B:B,B17,德育素质!D:D,"=荣誉称号加分")</f>
        <v>0.625</v>
      </c>
      <c r="I17" s="44">
        <f t="shared" si="0"/>
        <v>0.625</v>
      </c>
      <c r="J17" s="44">
        <f t="shared" si="1"/>
        <v>5.9050000000000002</v>
      </c>
      <c r="K17" s="44">
        <f>(VLOOKUP(B17,智育素质!B:D,3,0)*10+50)*0.6</f>
        <v>53.705999999999996</v>
      </c>
      <c r="L17" s="44">
        <f>SUMIFS(体育素质!J:J,体育素质!B:B,B17,体育素质!D:D,"=体育课程成绩",体育素质!E:E,"=体育成绩")/40</f>
        <v>4.165</v>
      </c>
      <c r="M17" s="44">
        <f>SUMIFS(体育素质!L:L,体育素质!B:B,B17,体育素质!D:D,"=校内外体育竞赛")</f>
        <v>0</v>
      </c>
      <c r="N17" s="44">
        <f>SUMIFS(体育素质!L:L,体育素质!B:B,B17,体育素质!D:D,"=校内外体育活动",体育素质!E:E,"=早锻炼")</f>
        <v>0</v>
      </c>
      <c r="O17" s="44">
        <f>SUMIFS(体育素质!L:L,体育素质!B:B,B17,体育素质!D:D,"=校内外体育活动",体育素质!E:E,"=校园跑")</f>
        <v>1</v>
      </c>
      <c r="P17" s="44">
        <f t="shared" si="2"/>
        <v>1</v>
      </c>
      <c r="Q17" s="44">
        <f t="shared" si="3"/>
        <v>5.165</v>
      </c>
      <c r="R17" s="44">
        <f>MIN(0.5,SUMIFS(美育素质!L:L,美育素质!B:B,B17,美育素质!D:D,"=文化艺术实践"))</f>
        <v>0</v>
      </c>
      <c r="S17" s="44">
        <f>SUMIFS(美育素质!L:L,美育素质!B:B,B17,美育素质!D:D,"=校内外文化艺术竞赛")</f>
        <v>0.75</v>
      </c>
      <c r="T17" s="44">
        <f t="shared" si="4"/>
        <v>0.75</v>
      </c>
      <c r="U17" s="44">
        <f>MAX(0,SUMIFS(劳育素质!K:K,劳育素质!B:B,B17,劳育素质!D:D,"=劳动日常考核基础分")+SUMIFS(劳育素质!K:K,劳育素质!B:B,B17,劳育素质!D:D,"=活动与卫生加减分"))</f>
        <v>1.54046666666667</v>
      </c>
      <c r="V17" s="50">
        <f>SUMIFS(劳育素质!K:K,劳育素质!B:B,B17,劳育素质!D:D,"=志愿服务",劳育素质!F:F,"=A类+B类")</f>
        <v>0.65</v>
      </c>
      <c r="W17" s="50">
        <f>MIN(0.5,SUMIFS(劳育素质!K:K,劳育素质!B:B,B17,劳育素质!D:D,"=志愿服务",劳育素质!F:F,"=C类"))</f>
        <v>0</v>
      </c>
      <c r="X17" s="50">
        <f t="shared" si="5"/>
        <v>0.65</v>
      </c>
      <c r="Y17" s="50">
        <f>SUMIFS(劳育素质!K:K,劳育素质!B:B,B17,劳育素质!D:D,"=实习实训")</f>
        <v>0</v>
      </c>
      <c r="Z17" s="50">
        <f t="shared" si="6"/>
        <v>2.1904666666666701</v>
      </c>
      <c r="AA17" s="50">
        <f>SUMIFS(创新与实践素质!L:L,创新与实践素质!B:B,B17,创新与实践素质!D:D,"=创新创业素质")</f>
        <v>5.8999999999999995</v>
      </c>
      <c r="AB17" s="50">
        <f>SUMIFS(创新与实践素质!L:L,创新与实践素质!B:B,B17,创新与实践素质!D:D,"=水平考试")</f>
        <v>0.75</v>
      </c>
      <c r="AC17" s="50">
        <f>SUMIFS(创新与实践素质!L:L,创新与实践素质!B:B,B17,创新与实践素质!D:D,"=社会实践")</f>
        <v>0</v>
      </c>
      <c r="AD17" s="50">
        <f>_xlfn.MAXIFS(创新与实践素质!L:L,创新与实践素质!B:B,B17,创新与实践素质!D:D,"=社会工作能力（工作表现）",创新与实践素质!G:G,"=上学期")+_xlfn.MAXIFS(创新与实践素质!L:L,创新与实践素质!B:B,B17,创新与实践素质!D:D,"=社会工作能力（工作表现）",创新与实践素质!G:G,"=下学期")</f>
        <v>1</v>
      </c>
      <c r="AE17" s="50">
        <f t="shared" si="7"/>
        <v>7.6499999999999995</v>
      </c>
      <c r="AF17" s="50">
        <f t="shared" si="8"/>
        <v>75.366466666666668</v>
      </c>
    </row>
    <row r="18" spans="1:32" x14ac:dyDescent="0.3">
      <c r="A18" s="21" t="s">
        <v>73</v>
      </c>
      <c r="B18" s="17" t="s">
        <v>21</v>
      </c>
      <c r="C18" s="17"/>
      <c r="D18" s="44">
        <f>SUMIFS(德育素质!H:H,德育素质!B:B,B18,德育素质!D:D,"=基本评定分")</f>
        <v>5.28</v>
      </c>
      <c r="E18" s="44">
        <f>MIN(2,SUMIFS(德育素质!H:H,德育素质!A:A,A18,德育素质!D:D,"=集体评定等级分",德育素质!E:E,"=班级考评等级")+SUMIFS(德育素质!H:H,德育素质!B:B,B18,德育素质!D:D,"=集体评定等级分"))</f>
        <v>0</v>
      </c>
      <c r="F18" s="44">
        <f>MIN(2,SUMIFS(德育素质!H:H,德育素质!B:B,B18,德育素质!D:D,"=社会责任记实分"))</f>
        <v>0</v>
      </c>
      <c r="G18" s="44">
        <f>SUMIFS(德育素质!H:H,德育素质!B:B,B18,德育素质!D:D,"=违纪违规扣分")</f>
        <v>0</v>
      </c>
      <c r="H18" s="44">
        <f>SUMIFS(德育素质!H:H,德育素质!B:B,B18,德育素质!D:D,"=荣誉称号加分")</f>
        <v>0</v>
      </c>
      <c r="I18" s="44">
        <f t="shared" si="0"/>
        <v>0</v>
      </c>
      <c r="J18" s="44">
        <f t="shared" si="1"/>
        <v>5.28</v>
      </c>
      <c r="K18" s="44">
        <f>(VLOOKUP(B18,智育素质!B:D,3,0)*10+50)*0.6</f>
        <v>50.904000000000003</v>
      </c>
      <c r="L18" s="44">
        <f>SUMIFS(体育素质!J:J,体育素质!B:B,B18,体育素质!D:D,"=体育课程成绩",体育素质!E:E,"=体育成绩")/40</f>
        <v>3.97</v>
      </c>
      <c r="M18" s="44">
        <f>SUMIFS(体育素质!L:L,体育素质!B:B,B18,体育素质!D:D,"=校内外体育竞赛")</f>
        <v>0</v>
      </c>
      <c r="N18" s="44">
        <f>SUMIFS(体育素质!L:L,体育素质!B:B,B18,体育素质!D:D,"=校内外体育活动",体育素质!E:E,"=早锻炼")</f>
        <v>0</v>
      </c>
      <c r="O18" s="44">
        <f>SUMIFS(体育素质!L:L,体育素质!B:B,B18,体育素质!D:D,"=校内外体育活动",体育素质!E:E,"=校园跑")</f>
        <v>0.6953125</v>
      </c>
      <c r="P18" s="44">
        <f t="shared" si="2"/>
        <v>0.6953125</v>
      </c>
      <c r="Q18" s="44">
        <f t="shared" si="3"/>
        <v>4.6653124999999998</v>
      </c>
      <c r="R18" s="44">
        <f>MIN(0.5,SUMIFS(美育素质!L:L,美育素质!B:B,B18,美育素质!D:D,"=文化艺术实践"))</f>
        <v>0</v>
      </c>
      <c r="S18" s="44">
        <f>SUMIFS(美育素质!L:L,美育素质!B:B,B18,美育素质!D:D,"=校内外文化艺术竞赛")</f>
        <v>0</v>
      </c>
      <c r="T18" s="44">
        <f t="shared" si="4"/>
        <v>0</v>
      </c>
      <c r="U18" s="44">
        <f>MAX(0,SUMIFS(劳育素质!K:K,劳育素质!B:B,B18,劳育素质!D:D,"=劳动日常考核基础分")+SUMIFS(劳育素质!K:K,劳育素质!B:B,B18,劳育素质!D:D,"=活动与卫生加减分"))</f>
        <v>1.4718</v>
      </c>
      <c r="V18" s="50">
        <f>SUMIFS(劳育素质!K:K,劳育素质!B:B,B18,劳育素质!D:D,"=志愿服务",劳育素质!F:F,"=A类+B类")</f>
        <v>0</v>
      </c>
      <c r="W18" s="50">
        <f>MIN(0.5,SUMIFS(劳育素质!K:K,劳育素质!B:B,B18,劳育素质!D:D,"=志愿服务",劳育素质!F:F,"=C类"))</f>
        <v>0</v>
      </c>
      <c r="X18" s="50">
        <f t="shared" si="5"/>
        <v>0</v>
      </c>
      <c r="Y18" s="50">
        <f>SUMIFS(劳育素质!K:K,劳育素质!B:B,B18,劳育素质!D:D,"=实习实训")</f>
        <v>0</v>
      </c>
      <c r="Z18" s="50">
        <f t="shared" si="6"/>
        <v>1.4718</v>
      </c>
      <c r="AA18" s="50">
        <f>SUMIFS(创新与实践素质!L:L,创新与实践素质!B:B,B18,创新与实践素质!D:D,"=创新创业素质")</f>
        <v>0</v>
      </c>
      <c r="AB18" s="50">
        <f>SUMIFS(创新与实践素质!L:L,创新与实践素质!B:B,B18,创新与实践素质!D:D,"=水平考试")</f>
        <v>0</v>
      </c>
      <c r="AC18" s="50">
        <f>SUMIFS(创新与实践素质!L:L,创新与实践素质!B:B,B18,创新与实践素质!D:D,"=社会实践")</f>
        <v>0</v>
      </c>
      <c r="AD18" s="50">
        <f>_xlfn.MAXIFS(创新与实践素质!L:L,创新与实践素质!B:B,B18,创新与实践素质!D:D,"=社会工作能力（工作表现）",创新与实践素质!G:G,"=上学期")+_xlfn.MAXIFS(创新与实践素质!L:L,创新与实践素质!B:B,B18,创新与实践素质!D:D,"=社会工作能力（工作表现）",创新与实践素质!G:G,"=下学期")</f>
        <v>0</v>
      </c>
      <c r="AE18" s="50">
        <f t="shared" si="7"/>
        <v>0</v>
      </c>
      <c r="AF18" s="50">
        <f t="shared" si="8"/>
        <v>62.321112500000005</v>
      </c>
    </row>
    <row r="19" spans="1:32" x14ac:dyDescent="0.3">
      <c r="A19" s="21" t="s">
        <v>74</v>
      </c>
      <c r="B19" s="17" t="s">
        <v>10</v>
      </c>
      <c r="C19" s="17"/>
      <c r="D19" s="44">
        <f>SUMIFS(德育素质!H:H,德育素质!B:B,B19,德育素质!D:D,"=基本评定分")</f>
        <v>5.28</v>
      </c>
      <c r="E19" s="44">
        <f>MIN(2,SUMIFS(德育素质!H:H,德育素质!A:A,A19,德育素质!D:D,"=集体评定等级分",德育素质!E:E,"=班级考评等级")+SUMIFS(德育素质!H:H,德育素质!B:B,B19,德育素质!D:D,"=集体评定等级分"))</f>
        <v>0</v>
      </c>
      <c r="F19" s="44">
        <f>MIN(2,SUMIFS(德育素质!H:H,德育素质!B:B,B19,德育素质!D:D,"=社会责任记实分"))</f>
        <v>0</v>
      </c>
      <c r="G19" s="44">
        <f>SUMIFS(德育素质!H:H,德育素质!B:B,B19,德育素质!D:D,"=违纪违规扣分")</f>
        <v>0</v>
      </c>
      <c r="H19" s="44">
        <f>SUMIFS(德育素质!H:H,德育素质!B:B,B19,德育素质!D:D,"=荣誉称号加分")</f>
        <v>0</v>
      </c>
      <c r="I19" s="44">
        <f t="shared" si="0"/>
        <v>0</v>
      </c>
      <c r="J19" s="44">
        <f t="shared" si="1"/>
        <v>5.28</v>
      </c>
      <c r="K19" s="44">
        <f>(VLOOKUP(B19,智育素质!B:D,3,0)*10+50)*0.6</f>
        <v>52.23</v>
      </c>
      <c r="L19" s="44">
        <f>SUMIFS(体育素质!J:J,体育素质!B:B,B19,体育素质!D:D,"=体育课程成绩",体育素质!E:E,"=体育成绩")/40</f>
        <v>3.8250000000000002</v>
      </c>
      <c r="M19" s="44">
        <f>SUMIFS(体育素质!L:L,体育素质!B:B,B19,体育素质!D:D,"=校内外体育竞赛")</f>
        <v>0</v>
      </c>
      <c r="N19" s="44">
        <f>SUMIFS(体育素质!L:L,体育素质!B:B,B19,体育素质!D:D,"=校内外体育活动",体育素质!E:E,"=早锻炼")</f>
        <v>0</v>
      </c>
      <c r="O19" s="44">
        <f>SUMIFS(体育素质!L:L,体育素质!B:B,B19,体育素质!D:D,"=校内外体育活动",体育素质!E:E,"=校园跑")</f>
        <v>1</v>
      </c>
      <c r="P19" s="44">
        <f t="shared" si="2"/>
        <v>1</v>
      </c>
      <c r="Q19" s="44">
        <f t="shared" si="3"/>
        <v>4.8250000000000002</v>
      </c>
      <c r="R19" s="44">
        <f>MIN(0.5,SUMIFS(美育素质!L:L,美育素质!B:B,B19,美育素质!D:D,"=文化艺术实践"))</f>
        <v>0</v>
      </c>
      <c r="S19" s="44">
        <f>SUMIFS(美育素质!L:L,美育素质!B:B,B19,美育素质!D:D,"=校内外文化艺术竞赛")</f>
        <v>0</v>
      </c>
      <c r="T19" s="44">
        <f t="shared" si="4"/>
        <v>0</v>
      </c>
      <c r="U19" s="44">
        <f>MAX(0,SUMIFS(劳育素质!K:K,劳育素质!B:B,B19,劳育素质!D:D,"=劳动日常考核基础分")+SUMIFS(劳育素质!K:K,劳育素质!B:B,B19,劳育素质!D:D,"=活动与卫生加减分"))</f>
        <v>1.5782777777777801</v>
      </c>
      <c r="V19" s="50">
        <f>SUMIFS(劳育素质!K:K,劳育素质!B:B,B19,劳育素质!D:D,"=志愿服务",劳育素质!F:F,"=A类+B类")</f>
        <v>1.075</v>
      </c>
      <c r="W19" s="50">
        <f>MIN(0.5,SUMIFS(劳育素质!K:K,劳育素质!B:B,B19,劳育素质!D:D,"=志愿服务",劳育素质!F:F,"=C类"))</f>
        <v>0</v>
      </c>
      <c r="X19" s="50">
        <f t="shared" si="5"/>
        <v>1.075</v>
      </c>
      <c r="Y19" s="50">
        <f>SUMIFS(劳育素质!K:K,劳育素质!B:B,B19,劳育素质!D:D,"=实习实训")</f>
        <v>0</v>
      </c>
      <c r="Z19" s="50">
        <f t="shared" si="6"/>
        <v>2.6532777777777801</v>
      </c>
      <c r="AA19" s="50">
        <f>SUMIFS(创新与实践素质!L:L,创新与实践素质!B:B,B19,创新与实践素质!D:D,"=创新创业素质")</f>
        <v>1.5</v>
      </c>
      <c r="AB19" s="50">
        <f>SUMIFS(创新与实践素质!L:L,创新与实践素质!B:B,B19,创新与实践素质!D:D,"=水平考试")</f>
        <v>0</v>
      </c>
      <c r="AC19" s="50">
        <f>SUMIFS(创新与实践素质!L:L,创新与实践素质!B:B,B19,创新与实践素质!D:D,"=社会实践")</f>
        <v>0</v>
      </c>
      <c r="AD19" s="50">
        <f>_xlfn.MAXIFS(创新与实践素质!L:L,创新与实践素质!B:B,B19,创新与实践素质!D:D,"=社会工作能力（工作表现）",创新与实践素质!G:G,"=上学期")+_xlfn.MAXIFS(创新与实践素质!L:L,创新与实践素质!B:B,B19,创新与实践素质!D:D,"=社会工作能力（工作表现）",创新与实践素质!G:G,"=下学期")</f>
        <v>0.15</v>
      </c>
      <c r="AE19" s="50">
        <f t="shared" si="7"/>
        <v>1.65</v>
      </c>
      <c r="AF19" s="50">
        <f t="shared" si="8"/>
        <v>66.638277777777773</v>
      </c>
    </row>
    <row r="20" spans="1:32" x14ac:dyDescent="0.3">
      <c r="A20" s="21" t="s">
        <v>75</v>
      </c>
      <c r="B20" s="17" t="s">
        <v>23</v>
      </c>
      <c r="C20" s="17"/>
      <c r="D20" s="44">
        <f>SUMIFS(德育素质!H:H,德育素质!B:B,B20,德育素质!D:D,"=基本评定分")</f>
        <v>5.28</v>
      </c>
      <c r="E20" s="44">
        <f>MIN(2,SUMIFS(德育素质!H:H,德育素质!A:A,A20,德育素质!D:D,"=集体评定等级分",德育素质!E:E,"=班级考评等级")+SUMIFS(德育素质!H:H,德育素质!B:B,B20,德育素质!D:D,"=集体评定等级分"))</f>
        <v>0</v>
      </c>
      <c r="F20" s="44">
        <f>MIN(2,SUMIFS(德育素质!H:H,德育素质!B:B,B20,德育素质!D:D,"=社会责任记实分"))</f>
        <v>0</v>
      </c>
      <c r="G20" s="44">
        <f>SUMIFS(德育素质!H:H,德育素质!B:B,B20,德育素质!D:D,"=违纪违规扣分")</f>
        <v>0</v>
      </c>
      <c r="H20" s="44">
        <f>SUMIFS(德育素质!H:H,德育素质!B:B,B20,德育素质!D:D,"=荣誉称号加分")</f>
        <v>0</v>
      </c>
      <c r="I20" s="44">
        <f t="shared" si="0"/>
        <v>0</v>
      </c>
      <c r="J20" s="44">
        <f t="shared" si="1"/>
        <v>5.28</v>
      </c>
      <c r="K20" s="44">
        <f>(VLOOKUP(B20,智育素质!B:D,3,0)*10+50)*0.6</f>
        <v>46.176000000000002</v>
      </c>
      <c r="L20" s="44">
        <f>SUMIFS(体育素质!J:J,体育素质!B:B,B20,体育素质!D:D,"=体育课程成绩",体育素质!E:E,"=体育成绩")/40</f>
        <v>3.43</v>
      </c>
      <c r="M20" s="44">
        <f>SUMIFS(体育素质!L:L,体育素质!B:B,B20,体育素质!D:D,"=校内外体育竞赛")</f>
        <v>0</v>
      </c>
      <c r="N20" s="44">
        <f>SUMIFS(体育素质!L:L,体育素质!B:B,B20,体育素质!D:D,"=校内外体育活动",体育素质!E:E,"=早锻炼")</f>
        <v>0</v>
      </c>
      <c r="O20" s="44">
        <f>SUMIFS(体育素质!L:L,体育素质!B:B,B20,体育素质!D:D,"=校内外体育活动",体育素质!E:E,"=校园跑")</f>
        <v>0</v>
      </c>
      <c r="P20" s="44">
        <f t="shared" si="2"/>
        <v>0</v>
      </c>
      <c r="Q20" s="44">
        <f t="shared" si="3"/>
        <v>3.43</v>
      </c>
      <c r="R20" s="44">
        <f>MIN(0.5,SUMIFS(美育素质!L:L,美育素质!B:B,B20,美育素质!D:D,"=文化艺术实践"))</f>
        <v>0</v>
      </c>
      <c r="S20" s="44">
        <f>SUMIFS(美育素质!L:L,美育素质!B:B,B20,美育素质!D:D,"=校内外文化艺术竞赛")</f>
        <v>0</v>
      </c>
      <c r="T20" s="44">
        <f t="shared" si="4"/>
        <v>0</v>
      </c>
      <c r="U20" s="44">
        <f>MAX(0,SUMIFS(劳育素质!K:K,劳育素质!B:B,B20,劳育素质!D:D,"=劳动日常考核基础分")+SUMIFS(劳育素质!K:K,劳育素质!B:B,B20,劳育素质!D:D,"=活动与卫生加减分"))</f>
        <v>1.496</v>
      </c>
      <c r="V20" s="50">
        <f>SUMIFS(劳育素质!K:K,劳育素质!B:B,B20,劳育素质!D:D,"=志愿服务",劳育素质!F:F,"=A类+B类")</f>
        <v>0</v>
      </c>
      <c r="W20" s="50">
        <f>MIN(0.5,SUMIFS(劳育素质!K:K,劳育素质!B:B,B20,劳育素质!D:D,"=志愿服务",劳育素质!F:F,"=C类"))</f>
        <v>0</v>
      </c>
      <c r="X20" s="50">
        <f t="shared" si="5"/>
        <v>0</v>
      </c>
      <c r="Y20" s="50">
        <f>SUMIFS(劳育素质!K:K,劳育素质!B:B,B20,劳育素质!D:D,"=实习实训")</f>
        <v>0</v>
      </c>
      <c r="Z20" s="50">
        <f t="shared" si="6"/>
        <v>1.496</v>
      </c>
      <c r="AA20" s="50">
        <f>SUMIFS(创新与实践素质!L:L,创新与实践素质!B:B,B20,创新与实践素质!D:D,"=创新创业素质")</f>
        <v>0.5</v>
      </c>
      <c r="AB20" s="50">
        <f>SUMIFS(创新与实践素质!L:L,创新与实践素质!B:B,B20,创新与实践素质!D:D,"=水平考试")</f>
        <v>0.68</v>
      </c>
      <c r="AC20" s="50">
        <f>SUMIFS(创新与实践素质!L:L,创新与实践素质!B:B,B20,创新与实践素质!D:D,"=社会实践")</f>
        <v>0</v>
      </c>
      <c r="AD20" s="50">
        <f>_xlfn.MAXIFS(创新与实践素质!L:L,创新与实践素质!B:B,B20,创新与实践素质!D:D,"=社会工作能力（工作表现）",创新与实践素质!G:G,"=上学期")+_xlfn.MAXIFS(创新与实践素质!L:L,创新与实践素质!B:B,B20,创新与实践素质!D:D,"=社会工作能力（工作表现）",创新与实践素质!G:G,"=下学期")</f>
        <v>0</v>
      </c>
      <c r="AE20" s="50">
        <f t="shared" si="7"/>
        <v>1.1800000000000002</v>
      </c>
      <c r="AF20" s="50">
        <f t="shared" si="8"/>
        <v>57.562000000000005</v>
      </c>
    </row>
    <row r="21" spans="1:32" x14ac:dyDescent="0.3">
      <c r="A21" s="21" t="s">
        <v>76</v>
      </c>
      <c r="B21" s="17" t="s">
        <v>19</v>
      </c>
      <c r="C21" s="17"/>
      <c r="D21" s="44">
        <f>SUMIFS(德育素质!H:H,德育素质!B:B,B21,德育素质!D:D,"=基本评定分")</f>
        <v>5.28</v>
      </c>
      <c r="E21" s="44">
        <f>MIN(2,SUMIFS(德育素质!H:H,德育素质!A:A,A21,德育素质!D:D,"=集体评定等级分",德育素质!E:E,"=班级考评等级")+SUMIFS(德育素质!H:H,德育素质!B:B,B21,德育素质!D:D,"=集体评定等级分"))</f>
        <v>0</v>
      </c>
      <c r="F21" s="44">
        <f>MIN(2,SUMIFS(德育素质!H:H,德育素质!B:B,B21,德育素质!D:D,"=社会责任记实分"))</f>
        <v>0</v>
      </c>
      <c r="G21" s="44">
        <f>SUMIFS(德育素质!H:H,德育素质!B:B,B21,德育素质!D:D,"=违纪违规扣分")</f>
        <v>0</v>
      </c>
      <c r="H21" s="44">
        <f>SUMIFS(德育素质!H:H,德育素质!B:B,B21,德育素质!D:D,"=荣誉称号加分")</f>
        <v>0</v>
      </c>
      <c r="I21" s="44">
        <f t="shared" si="0"/>
        <v>0</v>
      </c>
      <c r="J21" s="44">
        <f t="shared" si="1"/>
        <v>5.28</v>
      </c>
      <c r="K21" s="44">
        <f>(VLOOKUP(B21,智育素质!B:D,3,0)*10+50)*0.6</f>
        <v>49.368000000000002</v>
      </c>
      <c r="L21" s="44">
        <f>SUMIFS(体育素质!J:J,体育素质!B:B,B21,体育素质!D:D,"=体育课程成绩",体育素质!E:E,"=体育成绩")/40</f>
        <v>3.875</v>
      </c>
      <c r="M21" s="44">
        <f>SUMIFS(体育素质!L:L,体育素质!B:B,B21,体育素质!D:D,"=校内外体育竞赛")</f>
        <v>0</v>
      </c>
      <c r="N21" s="44">
        <f>SUMIFS(体育素质!L:L,体育素质!B:B,B21,体育素质!D:D,"=校内外体育活动",体育素质!E:E,"=早锻炼")</f>
        <v>0</v>
      </c>
      <c r="O21" s="44">
        <f>SUMIFS(体育素质!L:L,体育素质!B:B,B21,体育素质!D:D,"=校内外体育活动",体育素质!E:E,"=校园跑")</f>
        <v>0</v>
      </c>
      <c r="P21" s="44">
        <f t="shared" si="2"/>
        <v>0</v>
      </c>
      <c r="Q21" s="44">
        <f t="shared" si="3"/>
        <v>3.875</v>
      </c>
      <c r="R21" s="44">
        <f>MIN(0.5,SUMIFS(美育素质!L:L,美育素质!B:B,B21,美育素质!D:D,"=文化艺术实践"))</f>
        <v>0</v>
      </c>
      <c r="S21" s="44">
        <f>SUMIFS(美育素质!L:L,美育素质!B:B,B21,美育素质!D:D,"=校内外文化艺术竞赛")</f>
        <v>0</v>
      </c>
      <c r="T21" s="44">
        <f t="shared" si="4"/>
        <v>0</v>
      </c>
      <c r="U21" s="44">
        <f>MAX(0,SUMIFS(劳育素质!K:K,劳育素质!B:B,B21,劳育素质!D:D,"=劳动日常考核基础分")+SUMIFS(劳育素质!K:K,劳育素质!B:B,B21,劳育素质!D:D,"=活动与卫生加减分"))</f>
        <v>1.59161111111111</v>
      </c>
      <c r="V21" s="50">
        <f>SUMIFS(劳育素质!K:K,劳育素质!B:B,B21,劳育素质!D:D,"=志愿服务",劳育素质!F:F,"=A类+B类")</f>
        <v>0</v>
      </c>
      <c r="W21" s="50">
        <f>MIN(0.5,SUMIFS(劳育素质!K:K,劳育素质!B:B,B21,劳育素质!D:D,"=志愿服务",劳育素质!F:F,"=C类"))</f>
        <v>0</v>
      </c>
      <c r="X21" s="50">
        <f t="shared" si="5"/>
        <v>0</v>
      </c>
      <c r="Y21" s="50">
        <f>SUMIFS(劳育素质!K:K,劳育素质!B:B,B21,劳育素质!D:D,"=实习实训")</f>
        <v>0</v>
      </c>
      <c r="Z21" s="50">
        <f t="shared" si="6"/>
        <v>1.59161111111111</v>
      </c>
      <c r="AA21" s="50">
        <f>SUMIFS(创新与实践素质!L:L,创新与实践素质!B:B,B21,创新与实践素质!D:D,"=创新创业素质")</f>
        <v>0</v>
      </c>
      <c r="AB21" s="50">
        <f>SUMIFS(创新与实践素质!L:L,创新与实践素质!B:B,B21,创新与实践素质!D:D,"=水平考试")</f>
        <v>0</v>
      </c>
      <c r="AC21" s="50">
        <f>SUMIFS(创新与实践素质!L:L,创新与实践素质!B:B,B21,创新与实践素质!D:D,"=社会实践")</f>
        <v>0</v>
      </c>
      <c r="AD21" s="50">
        <f>_xlfn.MAXIFS(创新与实践素质!L:L,创新与实践素质!B:B,B21,创新与实践素质!D:D,"=社会工作能力（工作表现）",创新与实践素质!G:G,"=上学期")+_xlfn.MAXIFS(创新与实践素质!L:L,创新与实践素质!B:B,B21,创新与实践素质!D:D,"=社会工作能力（工作表现）",创新与实践素质!G:G,"=下学期")</f>
        <v>0</v>
      </c>
      <c r="AE21" s="50">
        <f t="shared" si="7"/>
        <v>0</v>
      </c>
      <c r="AF21" s="50">
        <f t="shared" si="8"/>
        <v>60.114611111111117</v>
      </c>
    </row>
  </sheetData>
  <mergeCells count="28">
    <mergeCell ref="AF1:AF3"/>
    <mergeCell ref="Y2:Y3"/>
    <mergeCell ref="Z2:Z3"/>
    <mergeCell ref="AA2:AA3"/>
    <mergeCell ref="AB2:AB3"/>
    <mergeCell ref="AC2:AC3"/>
    <mergeCell ref="A1:A3"/>
    <mergeCell ref="B1:B3"/>
    <mergeCell ref="C1:C3"/>
    <mergeCell ref="D2:D3"/>
    <mergeCell ref="J2:J3"/>
    <mergeCell ref="D1:J1"/>
    <mergeCell ref="L1:Q1"/>
    <mergeCell ref="R1:T1"/>
    <mergeCell ref="U1:Z1"/>
    <mergeCell ref="AA1:AE1"/>
    <mergeCell ref="E2:I2"/>
    <mergeCell ref="M2:P2"/>
    <mergeCell ref="V2:X2"/>
    <mergeCell ref="K1:K3"/>
    <mergeCell ref="L2:L3"/>
    <mergeCell ref="Q2:Q3"/>
    <mergeCell ref="R2:R3"/>
    <mergeCell ref="S2:S3"/>
    <mergeCell ref="T2:T3"/>
    <mergeCell ref="U2:U3"/>
    <mergeCell ref="AD2:AD3"/>
    <mergeCell ref="AE2:AE3"/>
  </mergeCells>
  <phoneticPr fontId="11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6"/>
  <sheetViews>
    <sheetView workbookViewId="0">
      <selection activeCell="C30" sqref="C30"/>
    </sheetView>
  </sheetViews>
  <sheetFormatPr defaultColWidth="9.19921875" defaultRowHeight="13.5" x14ac:dyDescent="0.3"/>
  <cols>
    <col min="1" max="1" width="40.06640625" style="4" customWidth="1"/>
    <col min="2" max="2" width="14.1328125" style="14" customWidth="1"/>
    <col min="3" max="3" width="11.796875" style="4" customWidth="1"/>
    <col min="4" max="4" width="17.59765625" style="4" customWidth="1"/>
    <col min="5" max="5" width="26.19921875" style="4" customWidth="1"/>
    <col min="6" max="6" width="6" style="4" customWidth="1"/>
    <col min="7" max="7" width="8.1328125" style="4" customWidth="1"/>
    <col min="8" max="8" width="6" style="15" customWidth="1"/>
  </cols>
  <sheetData>
    <row r="1" spans="1:9" x14ac:dyDescent="0.3">
      <c r="A1" s="10" t="s">
        <v>0</v>
      </c>
      <c r="B1" s="16" t="s">
        <v>1</v>
      </c>
      <c r="C1" s="10" t="s">
        <v>2</v>
      </c>
      <c r="D1" s="10" t="s">
        <v>77</v>
      </c>
      <c r="E1" s="10" t="s">
        <v>78</v>
      </c>
      <c r="F1" s="10" t="s">
        <v>79</v>
      </c>
      <c r="G1" s="10" t="s">
        <v>80</v>
      </c>
      <c r="H1" s="18" t="s">
        <v>81</v>
      </c>
    </row>
    <row r="2" spans="1:9" x14ac:dyDescent="0.3">
      <c r="A2" s="21" t="s">
        <v>6</v>
      </c>
      <c r="B2" s="21" t="s">
        <v>16</v>
      </c>
      <c r="C2" s="21"/>
      <c r="D2" s="21" t="s">
        <v>82</v>
      </c>
      <c r="E2" s="21"/>
      <c r="F2" s="21" t="s">
        <v>83</v>
      </c>
      <c r="G2" s="21"/>
      <c r="H2" s="36">
        <v>6</v>
      </c>
    </row>
    <row r="3" spans="1:9" x14ac:dyDescent="0.3">
      <c r="A3" s="21" t="s">
        <v>6</v>
      </c>
      <c r="B3" s="21" t="s">
        <v>8</v>
      </c>
      <c r="C3" s="21"/>
      <c r="D3" s="21" t="s">
        <v>82</v>
      </c>
      <c r="E3" s="21"/>
      <c r="F3" s="21" t="s">
        <v>83</v>
      </c>
      <c r="G3" s="21"/>
      <c r="H3" s="36">
        <v>6</v>
      </c>
    </row>
    <row r="4" spans="1:9" s="22" customFormat="1" x14ac:dyDescent="0.3">
      <c r="A4" s="21" t="s">
        <v>6</v>
      </c>
      <c r="B4" s="16" t="s">
        <v>8</v>
      </c>
      <c r="C4" s="10"/>
      <c r="D4" s="10" t="s">
        <v>53</v>
      </c>
      <c r="E4" s="10" t="s">
        <v>84</v>
      </c>
      <c r="F4" s="10" t="s">
        <v>85</v>
      </c>
      <c r="G4" s="10"/>
      <c r="H4" s="18">
        <v>0.25</v>
      </c>
      <c r="I4"/>
    </row>
    <row r="5" spans="1:9" s="22" customFormat="1" x14ac:dyDescent="0.3">
      <c r="A5" s="21" t="s">
        <v>6</v>
      </c>
      <c r="B5" s="21" t="s">
        <v>22</v>
      </c>
      <c r="C5" s="21"/>
      <c r="D5" s="21" t="s">
        <v>82</v>
      </c>
      <c r="E5" s="21"/>
      <c r="F5" s="21" t="s">
        <v>86</v>
      </c>
      <c r="G5" s="21"/>
      <c r="H5" s="36">
        <v>5.28</v>
      </c>
      <c r="I5"/>
    </row>
    <row r="6" spans="1:9" s="35" customFormat="1" x14ac:dyDescent="0.3">
      <c r="A6" s="21" t="s">
        <v>6</v>
      </c>
      <c r="B6" s="21" t="s">
        <v>18</v>
      </c>
      <c r="C6" s="21"/>
      <c r="D6" s="21" t="s">
        <v>82</v>
      </c>
      <c r="E6" s="21"/>
      <c r="F6" s="21" t="s">
        <v>83</v>
      </c>
      <c r="G6" s="21"/>
      <c r="H6" s="36">
        <v>6</v>
      </c>
      <c r="I6"/>
    </row>
    <row r="7" spans="1:9" x14ac:dyDescent="0.3">
      <c r="A7" s="21" t="s">
        <v>6</v>
      </c>
      <c r="B7" s="21" t="s">
        <v>12</v>
      </c>
      <c r="C7" s="21"/>
      <c r="D7" s="21" t="s">
        <v>82</v>
      </c>
      <c r="E7" s="21"/>
      <c r="F7" s="21" t="s">
        <v>83</v>
      </c>
      <c r="G7" s="21"/>
      <c r="H7" s="36">
        <v>6</v>
      </c>
    </row>
    <row r="8" spans="1:9" x14ac:dyDescent="0.3">
      <c r="A8" s="21" t="s">
        <v>6</v>
      </c>
      <c r="B8" s="21" t="s">
        <v>12</v>
      </c>
      <c r="C8" s="10"/>
      <c r="D8" s="10" t="s">
        <v>53</v>
      </c>
      <c r="E8" s="31" t="s">
        <v>87</v>
      </c>
      <c r="F8" s="31" t="s">
        <v>88</v>
      </c>
      <c r="G8" s="10"/>
      <c r="H8" s="18">
        <v>0.375</v>
      </c>
    </row>
    <row r="9" spans="1:9" x14ac:dyDescent="0.3">
      <c r="A9" s="21" t="s">
        <v>6</v>
      </c>
      <c r="B9" s="21" t="s">
        <v>17</v>
      </c>
      <c r="C9" s="21"/>
      <c r="D9" s="21" t="s">
        <v>82</v>
      </c>
      <c r="E9" s="21"/>
      <c r="F9" s="21" t="s">
        <v>86</v>
      </c>
      <c r="G9" s="21"/>
      <c r="H9" s="36">
        <v>5.28</v>
      </c>
    </row>
    <row r="10" spans="1:9" x14ac:dyDescent="0.3">
      <c r="A10" s="21" t="s">
        <v>6</v>
      </c>
      <c r="B10" s="21" t="s">
        <v>11</v>
      </c>
      <c r="C10" s="21"/>
      <c r="D10" s="21" t="s">
        <v>89</v>
      </c>
      <c r="E10" s="21" t="s">
        <v>90</v>
      </c>
      <c r="F10" s="21" t="s">
        <v>85</v>
      </c>
      <c r="G10" s="21"/>
      <c r="H10" s="36">
        <v>0.1</v>
      </c>
    </row>
    <row r="11" spans="1:9" x14ac:dyDescent="0.3">
      <c r="A11" s="21" t="s">
        <v>6</v>
      </c>
      <c r="B11" s="21" t="s">
        <v>11</v>
      </c>
      <c r="C11" s="21"/>
      <c r="D11" s="21" t="s">
        <v>82</v>
      </c>
      <c r="E11" s="21"/>
      <c r="F11" s="21" t="s">
        <v>83</v>
      </c>
      <c r="G11" s="21"/>
      <c r="H11" s="36">
        <v>6</v>
      </c>
    </row>
    <row r="12" spans="1:9" x14ac:dyDescent="0.3">
      <c r="A12" s="21" t="s">
        <v>6</v>
      </c>
      <c r="B12" s="21" t="s">
        <v>20</v>
      </c>
      <c r="C12" s="21"/>
      <c r="D12" s="21" t="s">
        <v>82</v>
      </c>
      <c r="E12" s="21"/>
      <c r="F12" s="21" t="s">
        <v>86</v>
      </c>
      <c r="G12" s="21"/>
      <c r="H12" s="36">
        <v>5.28</v>
      </c>
    </row>
    <row r="13" spans="1:9" x14ac:dyDescent="0.3">
      <c r="A13" s="21" t="s">
        <v>6</v>
      </c>
      <c r="B13" s="21" t="s">
        <v>24</v>
      </c>
      <c r="C13" s="21"/>
      <c r="D13" s="21" t="s">
        <v>82</v>
      </c>
      <c r="E13" s="21"/>
      <c r="F13" s="21" t="s">
        <v>86</v>
      </c>
      <c r="G13" s="21"/>
      <c r="H13" s="36">
        <v>5.28</v>
      </c>
    </row>
    <row r="14" spans="1:9" x14ac:dyDescent="0.3">
      <c r="A14" s="21" t="s">
        <v>6</v>
      </c>
      <c r="B14" s="21" t="s">
        <v>7</v>
      </c>
      <c r="C14" s="21"/>
      <c r="D14" s="21" t="s">
        <v>82</v>
      </c>
      <c r="E14" s="21"/>
      <c r="F14" s="21" t="s">
        <v>86</v>
      </c>
      <c r="G14" s="21"/>
      <c r="H14" s="36">
        <v>5.28</v>
      </c>
    </row>
    <row r="15" spans="1:9" x14ac:dyDescent="0.3">
      <c r="A15" s="21" t="s">
        <v>6</v>
      </c>
      <c r="B15" s="21" t="s">
        <v>13</v>
      </c>
      <c r="C15" s="21"/>
      <c r="D15" s="21" t="s">
        <v>82</v>
      </c>
      <c r="E15" s="21"/>
      <c r="F15" s="21" t="s">
        <v>86</v>
      </c>
      <c r="G15" s="21"/>
      <c r="H15" s="36">
        <v>5.28</v>
      </c>
    </row>
    <row r="16" spans="1:9" x14ac:dyDescent="0.3">
      <c r="A16" s="21" t="s">
        <v>6</v>
      </c>
      <c r="B16" s="21" t="s">
        <v>14</v>
      </c>
      <c r="C16" s="21"/>
      <c r="D16" s="21" t="s">
        <v>82</v>
      </c>
      <c r="E16" s="21"/>
      <c r="F16" s="21" t="s">
        <v>86</v>
      </c>
      <c r="G16" s="21"/>
      <c r="H16" s="36">
        <v>5.28</v>
      </c>
    </row>
    <row r="17" spans="1:8" x14ac:dyDescent="0.3">
      <c r="A17" s="21" t="s">
        <v>6</v>
      </c>
      <c r="B17" s="21" t="s">
        <v>15</v>
      </c>
      <c r="C17" s="21"/>
      <c r="D17" s="21" t="s">
        <v>82</v>
      </c>
      <c r="E17" s="21"/>
      <c r="F17" s="21" t="s">
        <v>86</v>
      </c>
      <c r="G17" s="21"/>
      <c r="H17" s="36">
        <v>5.28</v>
      </c>
    </row>
    <row r="18" spans="1:8" x14ac:dyDescent="0.3">
      <c r="A18" s="21" t="s">
        <v>6</v>
      </c>
      <c r="B18" s="21" t="s">
        <v>9</v>
      </c>
      <c r="C18" s="21"/>
      <c r="D18" s="21" t="s">
        <v>82</v>
      </c>
      <c r="E18" s="21"/>
      <c r="F18" s="21" t="s">
        <v>86</v>
      </c>
      <c r="G18" s="21"/>
      <c r="H18" s="36">
        <v>5.28</v>
      </c>
    </row>
    <row r="19" spans="1:8" x14ac:dyDescent="0.3">
      <c r="A19" s="21" t="s">
        <v>6</v>
      </c>
      <c r="B19" s="21" t="s">
        <v>9</v>
      </c>
      <c r="C19" s="10"/>
      <c r="D19" s="10" t="s">
        <v>53</v>
      </c>
      <c r="E19" s="31" t="s">
        <v>87</v>
      </c>
      <c r="F19" s="31" t="s">
        <v>88</v>
      </c>
      <c r="G19" s="10"/>
      <c r="H19" s="18">
        <v>0.375</v>
      </c>
    </row>
    <row r="20" spans="1:8" x14ac:dyDescent="0.3">
      <c r="A20" s="21" t="s">
        <v>6</v>
      </c>
      <c r="B20" s="21" t="s">
        <v>9</v>
      </c>
      <c r="C20" s="10"/>
      <c r="D20" s="10" t="s">
        <v>53</v>
      </c>
      <c r="E20" s="31" t="s">
        <v>87</v>
      </c>
      <c r="F20" s="31" t="s">
        <v>85</v>
      </c>
      <c r="G20" s="10"/>
      <c r="H20" s="18">
        <v>0.25</v>
      </c>
    </row>
    <row r="21" spans="1:8" x14ac:dyDescent="0.3">
      <c r="A21" s="21" t="s">
        <v>6</v>
      </c>
      <c r="B21" s="21" t="s">
        <v>21</v>
      </c>
      <c r="C21" s="21"/>
      <c r="D21" s="21" t="s">
        <v>82</v>
      </c>
      <c r="E21" s="21"/>
      <c r="F21" s="21" t="s">
        <v>86</v>
      </c>
      <c r="G21" s="21"/>
      <c r="H21" s="36">
        <v>5.28</v>
      </c>
    </row>
    <row r="22" spans="1:8" x14ac:dyDescent="0.3">
      <c r="A22" s="21" t="s">
        <v>6</v>
      </c>
      <c r="B22" s="21" t="s">
        <v>10</v>
      </c>
      <c r="C22" s="21"/>
      <c r="D22" s="21" t="s">
        <v>82</v>
      </c>
      <c r="E22" s="21"/>
      <c r="F22" s="21" t="s">
        <v>86</v>
      </c>
      <c r="G22" s="21"/>
      <c r="H22" s="36">
        <v>5.28</v>
      </c>
    </row>
    <row r="23" spans="1:8" x14ac:dyDescent="0.3">
      <c r="A23" s="21" t="s">
        <v>6</v>
      </c>
      <c r="B23" s="54" t="s">
        <v>23</v>
      </c>
      <c r="C23" s="21"/>
      <c r="D23" s="21" t="s">
        <v>82</v>
      </c>
      <c r="E23" s="21"/>
      <c r="F23" s="21" t="s">
        <v>86</v>
      </c>
      <c r="G23" s="21"/>
      <c r="H23" s="36">
        <v>5.28</v>
      </c>
    </row>
    <row r="24" spans="1:8" x14ac:dyDescent="0.3">
      <c r="A24" s="21" t="s">
        <v>6</v>
      </c>
      <c r="B24" s="54" t="s">
        <v>19</v>
      </c>
      <c r="C24" s="21"/>
      <c r="D24" s="21" t="s">
        <v>82</v>
      </c>
      <c r="E24" s="21"/>
      <c r="F24" s="21" t="s">
        <v>86</v>
      </c>
      <c r="G24" s="21"/>
      <c r="H24" s="36">
        <v>5.28</v>
      </c>
    </row>
    <row r="25" spans="1:8" x14ac:dyDescent="0.3">
      <c r="A25" s="21" t="s">
        <v>6</v>
      </c>
      <c r="B25" s="21"/>
      <c r="C25" s="10"/>
      <c r="D25" s="10" t="s">
        <v>91</v>
      </c>
      <c r="E25" s="31" t="s">
        <v>92</v>
      </c>
      <c r="F25" s="31" t="s">
        <v>83</v>
      </c>
      <c r="G25" s="10" t="s">
        <v>93</v>
      </c>
      <c r="H25" s="18">
        <v>1</v>
      </c>
    </row>
    <row r="26" spans="1:8" x14ac:dyDescent="0.3">
      <c r="A26" s="21" t="s">
        <v>6</v>
      </c>
      <c r="B26" s="21"/>
      <c r="C26" s="10"/>
      <c r="D26" s="10" t="s">
        <v>91</v>
      </c>
      <c r="E26" s="31" t="s">
        <v>92</v>
      </c>
      <c r="F26" s="31" t="s">
        <v>83</v>
      </c>
      <c r="G26" s="10" t="s">
        <v>94</v>
      </c>
      <c r="H26" s="18">
        <v>1</v>
      </c>
    </row>
  </sheetData>
  <sortState xmlns:xlrd2="http://schemas.microsoft.com/office/spreadsheetml/2017/richdata2" ref="A2:H26">
    <sortCondition ref="B2:B26"/>
  </sortState>
  <phoneticPr fontId="13" type="noConversion"/>
  <dataValidations count="2">
    <dataValidation allowBlank="1" showInputMessage="1" showErrorMessage="1" sqref="D1" xr:uid="{00000000-0002-0000-0200-000000000000}"/>
    <dataValidation type="list" allowBlank="1" showInputMessage="1" showErrorMessage="1" sqref="D2:D24 D25:D1048576" xr:uid="{00000000-0002-0000-0200-000001000000}">
      <formula1>"基本评定分,集体评定等级分,社会责任记实分,荣誉称号加分,违纪违规扣分"</formula1>
    </dataValidation>
  </dataValidation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9"/>
  <sheetViews>
    <sheetView workbookViewId="0">
      <selection activeCell="H18" sqref="H18"/>
    </sheetView>
  </sheetViews>
  <sheetFormatPr defaultColWidth="9.19921875" defaultRowHeight="13.5" x14ac:dyDescent="0.3"/>
  <cols>
    <col min="1" max="1" width="43.59765625" style="27" customWidth="1"/>
    <col min="2" max="2" width="14.1328125" style="28" customWidth="1"/>
    <col min="3" max="3" width="9.265625" style="27" customWidth="1"/>
    <col min="4" max="4" width="15.1328125" style="29" customWidth="1"/>
    <col min="5" max="16384" width="9.19921875" style="30"/>
  </cols>
  <sheetData>
    <row r="1" spans="1:4" x14ac:dyDescent="0.3">
      <c r="A1" s="31" t="s">
        <v>0</v>
      </c>
      <c r="B1" s="32" t="s">
        <v>1</v>
      </c>
      <c r="C1" s="31" t="s">
        <v>2</v>
      </c>
      <c r="D1" s="33" t="s">
        <v>95</v>
      </c>
    </row>
    <row r="2" spans="1:4" x14ac:dyDescent="0.3">
      <c r="A2" s="34" t="s">
        <v>6</v>
      </c>
      <c r="B2" s="34" t="s">
        <v>16</v>
      </c>
      <c r="C2" s="24"/>
      <c r="D2" s="18">
        <v>3.7759999999999998</v>
      </c>
    </row>
    <row r="3" spans="1:4" x14ac:dyDescent="0.3">
      <c r="A3" s="34" t="s">
        <v>6</v>
      </c>
      <c r="B3" s="34" t="s">
        <v>8</v>
      </c>
      <c r="C3" s="24"/>
      <c r="D3" s="18">
        <v>4.085</v>
      </c>
    </row>
    <row r="4" spans="1:4" x14ac:dyDescent="0.3">
      <c r="A4" s="34" t="s">
        <v>6</v>
      </c>
      <c r="B4" s="34" t="s">
        <v>22</v>
      </c>
      <c r="C4" s="24"/>
      <c r="D4" s="18">
        <v>3.3140000000000001</v>
      </c>
    </row>
    <row r="5" spans="1:4" x14ac:dyDescent="0.3">
      <c r="A5" s="34" t="s">
        <v>6</v>
      </c>
      <c r="B5" s="34" t="s">
        <v>18</v>
      </c>
      <c r="C5" s="24"/>
      <c r="D5" s="18">
        <v>3.7330000000000001</v>
      </c>
    </row>
    <row r="6" spans="1:4" x14ac:dyDescent="0.3">
      <c r="A6" s="34" t="s">
        <v>6</v>
      </c>
      <c r="B6" s="34" t="s">
        <v>12</v>
      </c>
      <c r="C6" s="24"/>
      <c r="D6" s="18">
        <v>3.8340000000000001</v>
      </c>
    </row>
    <row r="7" spans="1:4" x14ac:dyDescent="0.3">
      <c r="A7" s="34" t="s">
        <v>6</v>
      </c>
      <c r="B7" s="34" t="s">
        <v>17</v>
      </c>
      <c r="C7" s="24"/>
      <c r="D7" s="18">
        <v>3.52</v>
      </c>
    </row>
    <row r="8" spans="1:4" x14ac:dyDescent="0.3">
      <c r="A8" s="34" t="s">
        <v>6</v>
      </c>
      <c r="B8" s="34" t="s">
        <v>11</v>
      </c>
      <c r="C8" s="24"/>
      <c r="D8" s="18">
        <v>3.8330000000000002</v>
      </c>
    </row>
    <row r="9" spans="1:4" x14ac:dyDescent="0.3">
      <c r="A9" s="34" t="s">
        <v>6</v>
      </c>
      <c r="B9" s="34" t="s">
        <v>20</v>
      </c>
      <c r="C9" s="24"/>
      <c r="D9" s="18">
        <v>3.6</v>
      </c>
    </row>
    <row r="10" spans="1:4" x14ac:dyDescent="0.3">
      <c r="A10" s="34" t="s">
        <v>6</v>
      </c>
      <c r="B10" s="34" t="s">
        <v>24</v>
      </c>
      <c r="C10" s="24"/>
      <c r="D10" s="18">
        <v>2.96</v>
      </c>
    </row>
    <row r="11" spans="1:4" x14ac:dyDescent="0.3">
      <c r="A11" s="34" t="s">
        <v>6</v>
      </c>
      <c r="B11" s="34" t="s">
        <v>7</v>
      </c>
      <c r="C11" s="24"/>
      <c r="D11" s="18">
        <v>3.7959999999999998</v>
      </c>
    </row>
    <row r="12" spans="1:4" x14ac:dyDescent="0.3">
      <c r="A12" s="34" t="s">
        <v>6</v>
      </c>
      <c r="B12" s="34" t="s">
        <v>13</v>
      </c>
      <c r="C12" s="24"/>
      <c r="D12" s="18">
        <v>3.6160000000000001</v>
      </c>
    </row>
    <row r="13" spans="1:4" x14ac:dyDescent="0.3">
      <c r="A13" s="34" t="s">
        <v>6</v>
      </c>
      <c r="B13" s="34" t="s">
        <v>14</v>
      </c>
      <c r="C13" s="24"/>
      <c r="D13" s="18">
        <v>3.1240000000000001</v>
      </c>
    </row>
    <row r="14" spans="1:4" x14ac:dyDescent="0.3">
      <c r="A14" s="34" t="s">
        <v>6</v>
      </c>
      <c r="B14" s="34" t="s">
        <v>15</v>
      </c>
      <c r="C14" s="24"/>
      <c r="D14" s="18">
        <v>3.3170000000000002</v>
      </c>
    </row>
    <row r="15" spans="1:4" x14ac:dyDescent="0.3">
      <c r="A15" s="34" t="s">
        <v>6</v>
      </c>
      <c r="B15" s="34" t="s">
        <v>9</v>
      </c>
      <c r="C15" s="24"/>
      <c r="D15" s="18">
        <v>3.9510000000000001</v>
      </c>
    </row>
    <row r="16" spans="1:4" x14ac:dyDescent="0.3">
      <c r="A16" s="34" t="s">
        <v>6</v>
      </c>
      <c r="B16" s="34" t="s">
        <v>21</v>
      </c>
      <c r="C16" s="24"/>
      <c r="D16" s="18">
        <v>3.484</v>
      </c>
    </row>
    <row r="17" spans="1:4" x14ac:dyDescent="0.3">
      <c r="A17" s="34" t="s">
        <v>6</v>
      </c>
      <c r="B17" s="34" t="s">
        <v>10</v>
      </c>
      <c r="C17" s="24"/>
      <c r="D17" s="18">
        <v>3.7050000000000001</v>
      </c>
    </row>
    <row r="18" spans="1:4" x14ac:dyDescent="0.3">
      <c r="A18" s="34" t="s">
        <v>6</v>
      </c>
      <c r="B18" s="34" t="s">
        <v>23</v>
      </c>
      <c r="C18" s="24"/>
      <c r="D18" s="18">
        <v>2.6960000000000002</v>
      </c>
    </row>
    <row r="19" spans="1:4" x14ac:dyDescent="0.3">
      <c r="A19" s="34" t="s">
        <v>6</v>
      </c>
      <c r="B19" s="34" t="s">
        <v>19</v>
      </c>
      <c r="C19" s="24"/>
      <c r="D19" s="18">
        <v>3.2280000000000002</v>
      </c>
    </row>
  </sheetData>
  <sortState xmlns:xlrd2="http://schemas.microsoft.com/office/spreadsheetml/2017/richdata2" ref="A2:D19">
    <sortCondition ref="B2:B19"/>
  </sortState>
  <phoneticPr fontId="13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76"/>
  <sheetViews>
    <sheetView topLeftCell="A55" workbookViewId="0">
      <selection activeCell="I19" sqref="I19"/>
    </sheetView>
  </sheetViews>
  <sheetFormatPr defaultColWidth="9.19921875" defaultRowHeight="13.5" x14ac:dyDescent="0.3"/>
  <cols>
    <col min="1" max="1" width="39.59765625" style="4" customWidth="1"/>
    <col min="2" max="2" width="14.1328125" style="14" customWidth="1"/>
    <col min="3" max="3" width="11.33203125" style="4" customWidth="1"/>
    <col min="4" max="4" width="17.59765625" style="4" customWidth="1"/>
    <col min="5" max="5" width="20.19921875" style="4" customWidth="1"/>
    <col min="6" max="6" width="9.19921875" style="4" customWidth="1"/>
    <col min="7" max="8" width="8.1328125" style="4" customWidth="1"/>
    <col min="9" max="9" width="6" style="4" customWidth="1"/>
    <col min="10" max="10" width="8" style="15" customWidth="1"/>
    <col min="11" max="11" width="15.1328125" style="4" customWidth="1"/>
    <col min="12" max="12" width="8.6640625" style="4" customWidth="1"/>
    <col min="13" max="13" width="129.06640625" customWidth="1"/>
  </cols>
  <sheetData>
    <row r="1" spans="1:13" x14ac:dyDescent="0.3">
      <c r="A1" s="10" t="s">
        <v>0</v>
      </c>
      <c r="B1" s="16" t="s">
        <v>1</v>
      </c>
      <c r="C1" s="10" t="s">
        <v>2</v>
      </c>
      <c r="D1" s="10" t="s">
        <v>77</v>
      </c>
      <c r="E1" s="10" t="s">
        <v>78</v>
      </c>
      <c r="F1" s="10" t="s">
        <v>79</v>
      </c>
      <c r="G1" s="10" t="s">
        <v>80</v>
      </c>
      <c r="H1" s="10" t="s">
        <v>96</v>
      </c>
      <c r="I1" s="10" t="s">
        <v>97</v>
      </c>
      <c r="J1" s="18" t="s">
        <v>81</v>
      </c>
      <c r="K1" s="10" t="s">
        <v>98</v>
      </c>
      <c r="L1" s="10" t="s">
        <v>59</v>
      </c>
      <c r="M1" s="26"/>
    </row>
    <row r="2" spans="1:13" x14ac:dyDescent="0.3">
      <c r="A2" s="11" t="s">
        <v>6</v>
      </c>
      <c r="B2" s="11" t="s">
        <v>16</v>
      </c>
      <c r="C2" s="11"/>
      <c r="D2" s="10" t="s">
        <v>99</v>
      </c>
      <c r="E2" s="10" t="s">
        <v>100</v>
      </c>
      <c r="F2" s="10"/>
      <c r="G2" s="10" t="s">
        <v>93</v>
      </c>
      <c r="H2" s="10"/>
      <c r="I2" s="10"/>
      <c r="J2" s="23">
        <v>81.8</v>
      </c>
      <c r="K2" s="10"/>
      <c r="L2" s="10"/>
      <c r="M2" s="26"/>
    </row>
    <row r="3" spans="1:13" s="22" customFormat="1" x14ac:dyDescent="0.3">
      <c r="A3" s="11" t="s">
        <v>6</v>
      </c>
      <c r="B3" s="11" t="s">
        <v>16</v>
      </c>
      <c r="C3" s="11"/>
      <c r="D3" s="10" t="s">
        <v>99</v>
      </c>
      <c r="E3" s="10" t="s">
        <v>100</v>
      </c>
      <c r="F3" s="10"/>
      <c r="G3" s="10" t="s">
        <v>94</v>
      </c>
      <c r="H3" s="10"/>
      <c r="I3" s="10"/>
      <c r="J3" s="23">
        <v>75</v>
      </c>
      <c r="K3" s="10"/>
      <c r="L3" s="24"/>
      <c r="M3" s="26"/>
    </row>
    <row r="4" spans="1:13" s="22" customFormat="1" x14ac:dyDescent="0.3">
      <c r="A4" s="10" t="s">
        <v>6</v>
      </c>
      <c r="B4" s="10" t="s">
        <v>16</v>
      </c>
      <c r="C4" s="10"/>
      <c r="D4" s="10" t="s">
        <v>101</v>
      </c>
      <c r="E4" s="10" t="s">
        <v>102</v>
      </c>
      <c r="F4" s="10"/>
      <c r="G4" s="10" t="s">
        <v>93</v>
      </c>
      <c r="H4" s="10"/>
      <c r="I4" s="10"/>
      <c r="J4" s="18">
        <v>85.716666666666697</v>
      </c>
      <c r="K4" s="10"/>
      <c r="L4" s="25">
        <f>IF(J4&lt;60,0,IF(J4&gt;=100,0.5,(J4*0.05-2)/8))</f>
        <v>0.28572916666666698</v>
      </c>
      <c r="M4" s="26"/>
    </row>
    <row r="5" spans="1:13" x14ac:dyDescent="0.3">
      <c r="A5" s="10" t="s">
        <v>6</v>
      </c>
      <c r="B5" s="10" t="s">
        <v>16</v>
      </c>
      <c r="C5" s="10"/>
      <c r="D5" s="10" t="s">
        <v>101</v>
      </c>
      <c r="E5" s="10" t="s">
        <v>102</v>
      </c>
      <c r="F5" s="10"/>
      <c r="G5" s="10" t="s">
        <v>94</v>
      </c>
      <c r="H5" s="10"/>
      <c r="I5" s="10"/>
      <c r="J5" s="18">
        <v>100</v>
      </c>
      <c r="K5" s="10"/>
      <c r="L5" s="25">
        <f>IF(J5&lt;60,0,IF(J5&gt;=100,0.5,(J5*0.05-2)/8))</f>
        <v>0.5</v>
      </c>
      <c r="M5" s="26"/>
    </row>
    <row r="6" spans="1:13" x14ac:dyDescent="0.3">
      <c r="A6" s="11" t="s">
        <v>6</v>
      </c>
      <c r="B6" s="11" t="s">
        <v>8</v>
      </c>
      <c r="C6" s="11"/>
      <c r="D6" s="10" t="s">
        <v>99</v>
      </c>
      <c r="E6" s="10" t="s">
        <v>100</v>
      </c>
      <c r="F6" s="10"/>
      <c r="G6" s="10" t="s">
        <v>93</v>
      </c>
      <c r="H6" s="10"/>
      <c r="I6" s="10"/>
      <c r="J6" s="23">
        <v>90.8</v>
      </c>
      <c r="K6" s="10"/>
      <c r="L6" s="10"/>
      <c r="M6" s="26"/>
    </row>
    <row r="7" spans="1:13" x14ac:dyDescent="0.3">
      <c r="A7" s="11" t="s">
        <v>6</v>
      </c>
      <c r="B7" s="11" t="s">
        <v>8</v>
      </c>
      <c r="C7" s="11"/>
      <c r="D7" s="10" t="s">
        <v>99</v>
      </c>
      <c r="E7" s="10" t="s">
        <v>100</v>
      </c>
      <c r="F7" s="10"/>
      <c r="G7" s="10" t="s">
        <v>94</v>
      </c>
      <c r="H7" s="10"/>
      <c r="I7" s="10"/>
      <c r="J7" s="23">
        <v>75</v>
      </c>
      <c r="K7" s="10"/>
      <c r="L7" s="10"/>
      <c r="M7" s="26"/>
    </row>
    <row r="8" spans="1:13" x14ac:dyDescent="0.3">
      <c r="A8" s="10" t="s">
        <v>6</v>
      </c>
      <c r="B8" s="10" t="s">
        <v>8</v>
      </c>
      <c r="C8" s="10"/>
      <c r="D8" s="10" t="s">
        <v>101</v>
      </c>
      <c r="E8" s="10" t="s">
        <v>102</v>
      </c>
      <c r="F8" s="10"/>
      <c r="G8" s="10" t="s">
        <v>93</v>
      </c>
      <c r="H8" s="10"/>
      <c r="I8" s="10"/>
      <c r="J8" s="18">
        <v>100</v>
      </c>
      <c r="K8" s="10"/>
      <c r="L8" s="25">
        <f>IF(J8&lt;60,0,IF(J8&gt;=100,0.5,(J8*0.05-2)/8))</f>
        <v>0.5</v>
      </c>
      <c r="M8" s="26"/>
    </row>
    <row r="9" spans="1:13" x14ac:dyDescent="0.3">
      <c r="A9" s="10" t="s">
        <v>6</v>
      </c>
      <c r="B9" s="10" t="s">
        <v>8</v>
      </c>
      <c r="C9" s="10"/>
      <c r="D9" s="10" t="s">
        <v>101</v>
      </c>
      <c r="E9" s="10" t="s">
        <v>102</v>
      </c>
      <c r="F9" s="10"/>
      <c r="G9" s="10" t="s">
        <v>94</v>
      </c>
      <c r="H9" s="10"/>
      <c r="I9" s="10"/>
      <c r="J9" s="18">
        <v>100</v>
      </c>
      <c r="K9" s="10"/>
      <c r="L9" s="25">
        <f>IF(J9&lt;60,0,IF(J9&gt;=100,0.5,(J9*0.05-2)/8))</f>
        <v>0.5</v>
      </c>
      <c r="M9" s="26"/>
    </row>
    <row r="10" spans="1:13" x14ac:dyDescent="0.3">
      <c r="A10" s="11" t="s">
        <v>6</v>
      </c>
      <c r="B10" s="11" t="s">
        <v>22</v>
      </c>
      <c r="C10" s="11"/>
      <c r="D10" s="10" t="s">
        <v>99</v>
      </c>
      <c r="E10" s="10" t="s">
        <v>100</v>
      </c>
      <c r="F10" s="10"/>
      <c r="G10" s="10" t="s">
        <v>93</v>
      </c>
      <c r="H10" s="10"/>
      <c r="I10" s="10"/>
      <c r="J10" s="23">
        <v>64.2</v>
      </c>
      <c r="K10" s="10"/>
      <c r="L10" s="24"/>
      <c r="M10" s="26"/>
    </row>
    <row r="11" spans="1:13" x14ac:dyDescent="0.3">
      <c r="A11" s="11" t="s">
        <v>6</v>
      </c>
      <c r="B11" s="11" t="s">
        <v>22</v>
      </c>
      <c r="C11" s="11"/>
      <c r="D11" s="10" t="s">
        <v>99</v>
      </c>
      <c r="E11" s="10" t="s">
        <v>100</v>
      </c>
      <c r="F11" s="10"/>
      <c r="G11" s="10" t="s">
        <v>94</v>
      </c>
      <c r="H11" s="10"/>
      <c r="I11" s="10"/>
      <c r="J11" s="23">
        <v>65</v>
      </c>
      <c r="K11" s="10"/>
      <c r="L11" s="24"/>
      <c r="M11" s="26"/>
    </row>
    <row r="12" spans="1:13" x14ac:dyDescent="0.3">
      <c r="A12" s="10" t="s">
        <v>6</v>
      </c>
      <c r="B12" s="10" t="s">
        <v>22</v>
      </c>
      <c r="C12" s="10"/>
      <c r="D12" s="10" t="s">
        <v>101</v>
      </c>
      <c r="E12" s="10" t="s">
        <v>102</v>
      </c>
      <c r="F12" s="10"/>
      <c r="G12" s="10" t="s">
        <v>93</v>
      </c>
      <c r="H12" s="10"/>
      <c r="I12" s="10"/>
      <c r="J12" s="18">
        <v>67.650000000000006</v>
      </c>
      <c r="K12" s="10"/>
      <c r="L12" s="25">
        <f>IF(J12&lt;60,0,IF(J12&gt;=100,0.5,(J12*0.05-2)/8))</f>
        <v>0.17281250000000001</v>
      </c>
      <c r="M12" s="26"/>
    </row>
    <row r="13" spans="1:13" x14ac:dyDescent="0.3">
      <c r="A13" s="10" t="s">
        <v>6</v>
      </c>
      <c r="B13" s="10" t="s">
        <v>22</v>
      </c>
      <c r="C13" s="10"/>
      <c r="D13" s="10" t="s">
        <v>101</v>
      </c>
      <c r="E13" s="10" t="s">
        <v>102</v>
      </c>
      <c r="F13" s="10"/>
      <c r="G13" s="10" t="s">
        <v>94</v>
      </c>
      <c r="H13" s="10"/>
      <c r="I13" s="10"/>
      <c r="J13" s="18">
        <v>100</v>
      </c>
      <c r="K13" s="10"/>
      <c r="L13" s="25">
        <f>IF(J13&lt;60,0,IF(J13&gt;=100,0.5,(J13*0.05-2)/8))</f>
        <v>0.5</v>
      </c>
      <c r="M13" s="26"/>
    </row>
    <row r="14" spans="1:13" x14ac:dyDescent="0.3">
      <c r="A14" s="11" t="s">
        <v>6</v>
      </c>
      <c r="B14" s="11" t="s">
        <v>18</v>
      </c>
      <c r="C14" s="11"/>
      <c r="D14" s="10" t="s">
        <v>99</v>
      </c>
      <c r="E14" s="10" t="s">
        <v>100</v>
      </c>
      <c r="F14" s="10"/>
      <c r="G14" s="10" t="s">
        <v>93</v>
      </c>
      <c r="H14" s="10"/>
      <c r="I14" s="10"/>
      <c r="J14" s="23">
        <v>89</v>
      </c>
      <c r="K14" s="10"/>
      <c r="L14" s="24"/>
      <c r="M14" s="26"/>
    </row>
    <row r="15" spans="1:13" x14ac:dyDescent="0.3">
      <c r="A15" s="11" t="s">
        <v>6</v>
      </c>
      <c r="B15" s="11" t="s">
        <v>18</v>
      </c>
      <c r="C15" s="11"/>
      <c r="D15" s="10" t="s">
        <v>99</v>
      </c>
      <c r="E15" s="10" t="s">
        <v>100</v>
      </c>
      <c r="F15" s="10"/>
      <c r="G15" s="10" t="s">
        <v>94</v>
      </c>
      <c r="H15" s="10"/>
      <c r="I15" s="10"/>
      <c r="J15" s="23">
        <v>75</v>
      </c>
      <c r="K15" s="10"/>
      <c r="L15" s="24"/>
      <c r="M15" s="26"/>
    </row>
    <row r="16" spans="1:13" x14ac:dyDescent="0.3">
      <c r="A16" s="10" t="s">
        <v>6</v>
      </c>
      <c r="B16" s="10" t="s">
        <v>18</v>
      </c>
      <c r="C16" s="10"/>
      <c r="D16" s="10" t="s">
        <v>101</v>
      </c>
      <c r="E16" s="10" t="s">
        <v>102</v>
      </c>
      <c r="F16" s="10"/>
      <c r="G16" s="10" t="s">
        <v>93</v>
      </c>
      <c r="H16" s="10"/>
      <c r="I16" s="10"/>
      <c r="J16" s="18">
        <v>95.516666666666694</v>
      </c>
      <c r="K16" s="10"/>
      <c r="L16" s="25">
        <f>IF(J16&lt;60,0,IF(J16&gt;=100,0.5,(J16*0.05-2)/8))</f>
        <v>0.346979166666667</v>
      </c>
      <c r="M16" s="26"/>
    </row>
    <row r="17" spans="1:13" x14ac:dyDescent="0.3">
      <c r="A17" s="10" t="s">
        <v>6</v>
      </c>
      <c r="B17" s="10" t="s">
        <v>18</v>
      </c>
      <c r="C17" s="10"/>
      <c r="D17" s="10" t="s">
        <v>101</v>
      </c>
      <c r="E17" s="10" t="s">
        <v>102</v>
      </c>
      <c r="F17" s="10"/>
      <c r="G17" s="10" t="s">
        <v>94</v>
      </c>
      <c r="H17" s="10"/>
      <c r="I17" s="10"/>
      <c r="J17" s="18">
        <v>100</v>
      </c>
      <c r="K17" s="10"/>
      <c r="L17" s="25">
        <f>IF(J17&lt;60,0,IF(J17&gt;=100,0.5,(J17*0.05-2)/8))</f>
        <v>0.5</v>
      </c>
      <c r="M17" s="26"/>
    </row>
    <row r="18" spans="1:13" x14ac:dyDescent="0.3">
      <c r="A18" s="11" t="s">
        <v>6</v>
      </c>
      <c r="B18" s="11" t="s">
        <v>12</v>
      </c>
      <c r="C18" s="11"/>
      <c r="D18" s="10" t="s">
        <v>99</v>
      </c>
      <c r="E18" s="10" t="s">
        <v>100</v>
      </c>
      <c r="F18" s="10"/>
      <c r="G18" s="10" t="s">
        <v>93</v>
      </c>
      <c r="H18" s="10"/>
      <c r="I18" s="10"/>
      <c r="J18" s="23">
        <v>66.599999999999994</v>
      </c>
      <c r="K18" s="10"/>
      <c r="L18" s="10"/>
      <c r="M18" s="26"/>
    </row>
    <row r="19" spans="1:13" x14ac:dyDescent="0.3">
      <c r="A19" s="11" t="s">
        <v>6</v>
      </c>
      <c r="B19" s="11" t="s">
        <v>12</v>
      </c>
      <c r="C19" s="11"/>
      <c r="D19" s="10" t="s">
        <v>99</v>
      </c>
      <c r="E19" s="10" t="s">
        <v>100</v>
      </c>
      <c r="F19" s="10"/>
      <c r="G19" s="10" t="s">
        <v>94</v>
      </c>
      <c r="H19" s="10"/>
      <c r="I19" s="10"/>
      <c r="J19" s="23">
        <v>75</v>
      </c>
      <c r="K19" s="10"/>
      <c r="L19" s="10"/>
      <c r="M19" s="26"/>
    </row>
    <row r="20" spans="1:13" x14ac:dyDescent="0.3">
      <c r="A20" s="10" t="s">
        <v>6</v>
      </c>
      <c r="B20" s="10" t="s">
        <v>12</v>
      </c>
      <c r="C20" s="10"/>
      <c r="D20" s="10" t="s">
        <v>101</v>
      </c>
      <c r="E20" s="10" t="s">
        <v>102</v>
      </c>
      <c r="F20" s="10"/>
      <c r="G20" s="10" t="s">
        <v>93</v>
      </c>
      <c r="H20" s="10"/>
      <c r="I20" s="10"/>
      <c r="J20" s="18">
        <v>60.225000000000001</v>
      </c>
      <c r="K20" s="10"/>
      <c r="L20" s="25">
        <f>IF(J20&lt;60,0,IF(J20&gt;=100,0.5,(J20*0.05-2)/8))</f>
        <v>0.12640625</v>
      </c>
      <c r="M20" s="26"/>
    </row>
    <row r="21" spans="1:13" x14ac:dyDescent="0.3">
      <c r="A21" s="10" t="s">
        <v>6</v>
      </c>
      <c r="B21" s="10" t="s">
        <v>12</v>
      </c>
      <c r="C21" s="10"/>
      <c r="D21" s="10" t="s">
        <v>101</v>
      </c>
      <c r="E21" s="10" t="s">
        <v>102</v>
      </c>
      <c r="F21" s="10"/>
      <c r="G21" s="10" t="s">
        <v>94</v>
      </c>
      <c r="H21" s="10"/>
      <c r="I21" s="10"/>
      <c r="J21" s="18">
        <v>100</v>
      </c>
      <c r="K21" s="10"/>
      <c r="L21" s="25">
        <f>IF(J21&lt;60,0,IF(J21&gt;=100,0.5,(J21*0.05-2)/8))</f>
        <v>0.5</v>
      </c>
      <c r="M21" s="26"/>
    </row>
    <row r="22" spans="1:13" x14ac:dyDescent="0.3">
      <c r="A22" s="11" t="s">
        <v>6</v>
      </c>
      <c r="B22" s="11" t="s">
        <v>17</v>
      </c>
      <c r="C22" s="11"/>
      <c r="D22" s="10" t="s">
        <v>99</v>
      </c>
      <c r="E22" s="10" t="s">
        <v>100</v>
      </c>
      <c r="F22" s="10"/>
      <c r="G22" s="10" t="s">
        <v>93</v>
      </c>
      <c r="H22" s="10"/>
      <c r="I22" s="10"/>
      <c r="J22" s="23">
        <v>65.400000000000006</v>
      </c>
      <c r="K22" s="10"/>
      <c r="L22" s="24"/>
    </row>
    <row r="23" spans="1:13" x14ac:dyDescent="0.3">
      <c r="A23" s="11" t="s">
        <v>6</v>
      </c>
      <c r="B23" s="11" t="s">
        <v>17</v>
      </c>
      <c r="C23" s="11"/>
      <c r="D23" s="10" t="s">
        <v>99</v>
      </c>
      <c r="E23" s="10" t="s">
        <v>100</v>
      </c>
      <c r="F23" s="10"/>
      <c r="G23" s="10" t="s">
        <v>94</v>
      </c>
      <c r="H23" s="10"/>
      <c r="I23" s="10"/>
      <c r="J23" s="23">
        <v>65</v>
      </c>
      <c r="K23" s="10"/>
      <c r="L23" s="24"/>
      <c r="M23" s="26"/>
    </row>
    <row r="24" spans="1:13" x14ac:dyDescent="0.3">
      <c r="A24" s="10" t="s">
        <v>6</v>
      </c>
      <c r="B24" s="10" t="s">
        <v>17</v>
      </c>
      <c r="C24" s="10"/>
      <c r="D24" s="10" t="s">
        <v>101</v>
      </c>
      <c r="E24" s="10" t="s">
        <v>102</v>
      </c>
      <c r="F24" s="10"/>
      <c r="G24" s="10" t="s">
        <v>93</v>
      </c>
      <c r="H24" s="10"/>
      <c r="I24" s="10"/>
      <c r="J24" s="18">
        <v>60.14</v>
      </c>
      <c r="K24" s="10"/>
      <c r="L24" s="25">
        <f>IF(J24&lt;60,0,IF(J24&gt;=100,0.5,(J24*0.05-2)/8))</f>
        <v>0.12587499999999999</v>
      </c>
      <c r="M24" s="26"/>
    </row>
    <row r="25" spans="1:13" x14ac:dyDescent="0.3">
      <c r="A25" s="10" t="s">
        <v>6</v>
      </c>
      <c r="B25" s="10" t="s">
        <v>17</v>
      </c>
      <c r="C25" s="10"/>
      <c r="D25" s="10" t="s">
        <v>101</v>
      </c>
      <c r="E25" s="10" t="s">
        <v>102</v>
      </c>
      <c r="F25" s="10"/>
      <c r="G25" s="10" t="s">
        <v>94</v>
      </c>
      <c r="H25" s="10"/>
      <c r="I25" s="10"/>
      <c r="J25" s="18">
        <v>100</v>
      </c>
      <c r="K25" s="10"/>
      <c r="L25" s="25">
        <f>IF(J25&lt;60,0,IF(J25&gt;=100,0.5,(J25*0.05-2)/8))</f>
        <v>0.5</v>
      </c>
      <c r="M25" s="26"/>
    </row>
    <row r="26" spans="1:13" x14ac:dyDescent="0.3">
      <c r="A26" s="10" t="s">
        <v>6</v>
      </c>
      <c r="B26" s="10" t="s">
        <v>103</v>
      </c>
      <c r="C26" s="10"/>
      <c r="D26" s="10" t="s">
        <v>101</v>
      </c>
      <c r="E26" s="10" t="s">
        <v>102</v>
      </c>
      <c r="F26" s="10"/>
      <c r="G26" s="10" t="s">
        <v>93</v>
      </c>
      <c r="H26" s="10"/>
      <c r="I26" s="10"/>
      <c r="J26" s="18">
        <v>51.483333333333299</v>
      </c>
      <c r="K26" s="10"/>
      <c r="L26" s="25">
        <f>IF(J26&lt;60,0,IF(J26&gt;=100,0.5,(J26*0.05-2)/8))</f>
        <v>0</v>
      </c>
      <c r="M26" s="4"/>
    </row>
    <row r="27" spans="1:13" x14ac:dyDescent="0.3">
      <c r="A27" s="10" t="s">
        <v>6</v>
      </c>
      <c r="B27" s="10" t="s">
        <v>103</v>
      </c>
      <c r="C27" s="10"/>
      <c r="D27" s="10" t="s">
        <v>101</v>
      </c>
      <c r="E27" s="10" t="s">
        <v>102</v>
      </c>
      <c r="F27" s="10"/>
      <c r="G27" s="10" t="s">
        <v>94</v>
      </c>
      <c r="H27" s="10"/>
      <c r="I27" s="10"/>
      <c r="J27" s="18">
        <v>100</v>
      </c>
      <c r="K27" s="10"/>
      <c r="L27" s="25">
        <f>IF(J27&lt;60,0,IF(J27&gt;=100,0.5,(J27*0.05-2)/8))</f>
        <v>0.5</v>
      </c>
      <c r="M27" s="4"/>
    </row>
    <row r="28" spans="1:13" x14ac:dyDescent="0.3">
      <c r="A28" s="11" t="s">
        <v>6</v>
      </c>
      <c r="B28" s="11" t="s">
        <v>11</v>
      </c>
      <c r="C28" s="11"/>
      <c r="D28" s="10" t="s">
        <v>99</v>
      </c>
      <c r="E28" s="10" t="s">
        <v>100</v>
      </c>
      <c r="F28" s="10"/>
      <c r="G28" s="10" t="s">
        <v>93</v>
      </c>
      <c r="H28" s="10"/>
      <c r="I28" s="10"/>
      <c r="J28" s="23">
        <v>74.8</v>
      </c>
      <c r="K28" s="10"/>
      <c r="L28" s="10"/>
      <c r="M28" s="4"/>
    </row>
    <row r="29" spans="1:13" x14ac:dyDescent="0.3">
      <c r="A29" s="11" t="s">
        <v>6</v>
      </c>
      <c r="B29" s="11" t="s">
        <v>11</v>
      </c>
      <c r="C29" s="11"/>
      <c r="D29" s="10" t="s">
        <v>99</v>
      </c>
      <c r="E29" s="10" t="s">
        <v>100</v>
      </c>
      <c r="F29" s="10"/>
      <c r="G29" s="10" t="s">
        <v>94</v>
      </c>
      <c r="H29" s="10"/>
      <c r="I29" s="10"/>
      <c r="J29" s="23">
        <v>75</v>
      </c>
      <c r="K29" s="10"/>
      <c r="L29" s="10"/>
      <c r="M29" s="4"/>
    </row>
    <row r="30" spans="1:13" x14ac:dyDescent="0.3">
      <c r="A30" s="10" t="s">
        <v>6</v>
      </c>
      <c r="B30" s="10" t="s">
        <v>11</v>
      </c>
      <c r="C30" s="10"/>
      <c r="D30" s="10" t="s">
        <v>101</v>
      </c>
      <c r="E30" s="10" t="s">
        <v>102</v>
      </c>
      <c r="F30" s="10"/>
      <c r="G30" s="10" t="s">
        <v>93</v>
      </c>
      <c r="H30" s="10"/>
      <c r="I30" s="10"/>
      <c r="J30" s="18">
        <v>72.116666666666703</v>
      </c>
      <c r="K30" s="10"/>
      <c r="L30" s="25">
        <f>IF(J30&lt;60,0,IF(J30&gt;=100,0.5,(J30*0.05-2)/8))</f>
        <v>0.20072916666666701</v>
      </c>
      <c r="M30" s="4"/>
    </row>
    <row r="31" spans="1:13" x14ac:dyDescent="0.3">
      <c r="A31" s="10" t="s">
        <v>6</v>
      </c>
      <c r="B31" s="10" t="s">
        <v>11</v>
      </c>
      <c r="C31" s="10"/>
      <c r="D31" s="10" t="s">
        <v>101</v>
      </c>
      <c r="E31" s="10" t="s">
        <v>102</v>
      </c>
      <c r="F31" s="10"/>
      <c r="G31" s="10" t="s">
        <v>94</v>
      </c>
      <c r="H31" s="10"/>
      <c r="I31" s="10"/>
      <c r="J31" s="18">
        <v>100</v>
      </c>
      <c r="K31" s="10"/>
      <c r="L31" s="25">
        <f>IF(J31&lt;60,0,IF(J31&gt;=100,0.5,(J31*0.05-2)/8))</f>
        <v>0.5</v>
      </c>
    </row>
    <row r="32" spans="1:13" x14ac:dyDescent="0.3">
      <c r="A32" s="11" t="s">
        <v>6</v>
      </c>
      <c r="B32" s="11" t="s">
        <v>20</v>
      </c>
      <c r="C32" s="11"/>
      <c r="D32" s="10" t="s">
        <v>99</v>
      </c>
      <c r="E32" s="10" t="s">
        <v>100</v>
      </c>
      <c r="F32" s="10"/>
      <c r="G32" s="10" t="s">
        <v>93</v>
      </c>
      <c r="H32" s="10"/>
      <c r="I32" s="10"/>
      <c r="J32" s="23">
        <v>88.6</v>
      </c>
      <c r="K32" s="10"/>
      <c r="L32" s="24"/>
    </row>
    <row r="33" spans="1:13" x14ac:dyDescent="0.3">
      <c r="A33" s="11" t="s">
        <v>6</v>
      </c>
      <c r="B33" s="11" t="s">
        <v>20</v>
      </c>
      <c r="C33" s="11"/>
      <c r="D33" s="10" t="s">
        <v>99</v>
      </c>
      <c r="E33" s="10" t="s">
        <v>100</v>
      </c>
      <c r="F33" s="10"/>
      <c r="G33" s="10" t="s">
        <v>94</v>
      </c>
      <c r="H33" s="10"/>
      <c r="I33" s="10"/>
      <c r="J33" s="23">
        <v>65</v>
      </c>
      <c r="K33" s="10"/>
      <c r="L33" s="24"/>
    </row>
    <row r="34" spans="1:13" x14ac:dyDescent="0.3">
      <c r="A34" s="10" t="s">
        <v>6</v>
      </c>
      <c r="B34" s="10" t="s">
        <v>20</v>
      </c>
      <c r="C34" s="10"/>
      <c r="D34" s="10" t="s">
        <v>101</v>
      </c>
      <c r="E34" s="10" t="s">
        <v>102</v>
      </c>
      <c r="F34" s="10"/>
      <c r="G34" s="10" t="s">
        <v>93</v>
      </c>
      <c r="H34" s="10"/>
      <c r="I34" s="10"/>
      <c r="J34" s="18">
        <v>100</v>
      </c>
      <c r="K34" s="10"/>
      <c r="L34" s="25">
        <f>IF(J34&lt;60,0,IF(J34&gt;=100,0.5,(J34*0.05-2)/8))</f>
        <v>0.5</v>
      </c>
    </row>
    <row r="35" spans="1:13" x14ac:dyDescent="0.3">
      <c r="A35" s="10" t="s">
        <v>6</v>
      </c>
      <c r="B35" s="10" t="s">
        <v>20</v>
      </c>
      <c r="C35" s="10"/>
      <c r="D35" s="10" t="s">
        <v>101</v>
      </c>
      <c r="E35" s="10" t="s">
        <v>102</v>
      </c>
      <c r="F35" s="10"/>
      <c r="G35" s="10" t="s">
        <v>94</v>
      </c>
      <c r="H35" s="10"/>
      <c r="I35" s="10"/>
      <c r="J35" s="18">
        <v>100</v>
      </c>
      <c r="K35" s="10"/>
      <c r="L35" s="25">
        <f>IF(J35&lt;60,0,IF(J35&gt;=100,0.5,(J35*0.05-2)/8))</f>
        <v>0.5</v>
      </c>
    </row>
    <row r="36" spans="1:13" x14ac:dyDescent="0.3">
      <c r="A36" s="11" t="s">
        <v>6</v>
      </c>
      <c r="B36" s="11" t="s">
        <v>24</v>
      </c>
      <c r="C36" s="11"/>
      <c r="D36" s="10" t="s">
        <v>99</v>
      </c>
      <c r="E36" s="10" t="s">
        <v>100</v>
      </c>
      <c r="F36" s="10"/>
      <c r="G36" s="10" t="s">
        <v>93</v>
      </c>
      <c r="H36" s="10"/>
      <c r="I36" s="10"/>
      <c r="J36" s="23">
        <v>67</v>
      </c>
      <c r="K36" s="10"/>
      <c r="L36" s="24"/>
    </row>
    <row r="37" spans="1:13" x14ac:dyDescent="0.3">
      <c r="A37" s="11" t="s">
        <v>6</v>
      </c>
      <c r="B37" s="11" t="s">
        <v>24</v>
      </c>
      <c r="C37" s="11"/>
      <c r="D37" s="10" t="s">
        <v>99</v>
      </c>
      <c r="E37" s="10" t="s">
        <v>100</v>
      </c>
      <c r="F37" s="10"/>
      <c r="G37" s="10" t="s">
        <v>94</v>
      </c>
      <c r="H37" s="10"/>
      <c r="I37" s="10"/>
      <c r="J37" s="23">
        <v>65</v>
      </c>
      <c r="K37" s="10"/>
      <c r="L37" s="10"/>
    </row>
    <row r="38" spans="1:13" x14ac:dyDescent="0.3">
      <c r="A38" s="10" t="s">
        <v>6</v>
      </c>
      <c r="B38" s="10" t="s">
        <v>24</v>
      </c>
      <c r="C38" s="10"/>
      <c r="D38" s="10" t="s">
        <v>101</v>
      </c>
      <c r="E38" s="10" t="s">
        <v>102</v>
      </c>
      <c r="F38" s="10"/>
      <c r="G38" s="10" t="s">
        <v>93</v>
      </c>
      <c r="H38" s="10"/>
      <c r="I38" s="10"/>
      <c r="J38" s="18">
        <v>21.358333333333299</v>
      </c>
      <c r="K38" s="10"/>
      <c r="L38" s="25">
        <f>IF(J38&lt;60,0,IF(J38&gt;=100,0.5,(J38*0.05-2)/8))</f>
        <v>0</v>
      </c>
      <c r="M38" s="4"/>
    </row>
    <row r="39" spans="1:13" x14ac:dyDescent="0.3">
      <c r="A39" s="10" t="s">
        <v>6</v>
      </c>
      <c r="B39" s="10" t="s">
        <v>24</v>
      </c>
      <c r="C39" s="10"/>
      <c r="D39" s="10" t="s">
        <v>101</v>
      </c>
      <c r="E39" s="10" t="s">
        <v>102</v>
      </c>
      <c r="F39" s="10"/>
      <c r="G39" s="10" t="s">
        <v>94</v>
      </c>
      <c r="H39" s="10"/>
      <c r="I39" s="10"/>
      <c r="J39" s="18">
        <v>0</v>
      </c>
      <c r="K39" s="10"/>
      <c r="L39" s="25">
        <f>IF(J39&lt;60,0,IF(J39&gt;=100,0.5,(J39*0.05-2)/8))</f>
        <v>0</v>
      </c>
      <c r="M39" s="4"/>
    </row>
    <row r="40" spans="1:13" x14ac:dyDescent="0.3">
      <c r="A40" s="11" t="s">
        <v>6</v>
      </c>
      <c r="B40" s="21" t="s">
        <v>24</v>
      </c>
      <c r="C40" s="11"/>
      <c r="D40" s="11" t="s">
        <v>104</v>
      </c>
      <c r="E40" s="11" t="s">
        <v>105</v>
      </c>
      <c r="F40" s="11" t="s">
        <v>85</v>
      </c>
      <c r="G40" s="11"/>
      <c r="H40" s="11" t="s">
        <v>106</v>
      </c>
      <c r="I40" s="10"/>
      <c r="J40" s="18">
        <v>0.1</v>
      </c>
      <c r="K40" s="10">
        <v>0.5</v>
      </c>
      <c r="L40" s="10">
        <v>0.05</v>
      </c>
      <c r="M40" s="4"/>
    </row>
    <row r="41" spans="1:13" x14ac:dyDescent="0.3">
      <c r="A41" s="11" t="s">
        <v>6</v>
      </c>
      <c r="B41" s="11" t="s">
        <v>7</v>
      </c>
      <c r="C41" s="11"/>
      <c r="D41" s="10" t="s">
        <v>99</v>
      </c>
      <c r="E41" s="10" t="s">
        <v>100</v>
      </c>
      <c r="F41" s="10"/>
      <c r="G41" s="10" t="s">
        <v>93</v>
      </c>
      <c r="H41" s="10"/>
      <c r="I41" s="10"/>
      <c r="J41" s="23">
        <v>80.2</v>
      </c>
      <c r="K41" s="10"/>
      <c r="L41" s="10"/>
      <c r="M41" s="4"/>
    </row>
    <row r="42" spans="1:13" x14ac:dyDescent="0.3">
      <c r="A42" s="11" t="s">
        <v>6</v>
      </c>
      <c r="B42" s="11" t="s">
        <v>7</v>
      </c>
      <c r="C42" s="11"/>
      <c r="D42" s="10" t="s">
        <v>99</v>
      </c>
      <c r="E42" s="10" t="s">
        <v>100</v>
      </c>
      <c r="F42" s="10"/>
      <c r="G42" s="10" t="s">
        <v>94</v>
      </c>
      <c r="H42" s="10"/>
      <c r="I42" s="10"/>
      <c r="J42" s="23">
        <v>65</v>
      </c>
      <c r="K42" s="10"/>
      <c r="L42" s="10"/>
      <c r="M42" s="4"/>
    </row>
    <row r="43" spans="1:13" x14ac:dyDescent="0.3">
      <c r="A43" s="10" t="s">
        <v>6</v>
      </c>
      <c r="B43" s="10" t="s">
        <v>7</v>
      </c>
      <c r="C43" s="10"/>
      <c r="D43" s="10" t="s">
        <v>101</v>
      </c>
      <c r="E43" s="10" t="s">
        <v>102</v>
      </c>
      <c r="F43" s="10"/>
      <c r="G43" s="10" t="s">
        <v>93</v>
      </c>
      <c r="H43" s="10"/>
      <c r="I43" s="10"/>
      <c r="J43" s="18">
        <v>82.5</v>
      </c>
      <c r="K43" s="10"/>
      <c r="L43" s="25">
        <f>IF(J43&lt;60,0,IF(J43&gt;=100,0.5,(J43*0.05-2)/8))</f>
        <v>0.265625</v>
      </c>
      <c r="M43" s="4"/>
    </row>
    <row r="44" spans="1:13" x14ac:dyDescent="0.3">
      <c r="A44" s="10" t="s">
        <v>6</v>
      </c>
      <c r="B44" s="10" t="s">
        <v>7</v>
      </c>
      <c r="C44" s="10"/>
      <c r="D44" s="10" t="s">
        <v>101</v>
      </c>
      <c r="E44" s="10" t="s">
        <v>102</v>
      </c>
      <c r="F44" s="10"/>
      <c r="G44" s="10" t="s">
        <v>94</v>
      </c>
      <c r="H44" s="10"/>
      <c r="I44" s="10"/>
      <c r="J44" s="18">
        <v>100</v>
      </c>
      <c r="K44" s="10"/>
      <c r="L44" s="25">
        <f>IF(J44&lt;60,0,IF(J44&gt;=100,0.5,(J44*0.05-2)/8))</f>
        <v>0.5</v>
      </c>
      <c r="M44" s="4"/>
    </row>
    <row r="45" spans="1:13" x14ac:dyDescent="0.3">
      <c r="A45" s="11" t="s">
        <v>6</v>
      </c>
      <c r="B45" s="11" t="s">
        <v>13</v>
      </c>
      <c r="C45" s="11"/>
      <c r="D45" s="10" t="s">
        <v>99</v>
      </c>
      <c r="E45" s="10" t="s">
        <v>100</v>
      </c>
      <c r="F45" s="10"/>
      <c r="G45" s="10" t="s">
        <v>93</v>
      </c>
      <c r="H45" s="10"/>
      <c r="I45" s="10"/>
      <c r="J45" s="23">
        <v>71.2</v>
      </c>
      <c r="K45" s="10"/>
      <c r="L45" s="10"/>
      <c r="M45" s="4"/>
    </row>
    <row r="46" spans="1:13" x14ac:dyDescent="0.3">
      <c r="A46" s="11" t="s">
        <v>6</v>
      </c>
      <c r="B46" s="11" t="s">
        <v>13</v>
      </c>
      <c r="C46" s="11"/>
      <c r="D46" s="10" t="s">
        <v>99</v>
      </c>
      <c r="E46" s="10" t="s">
        <v>100</v>
      </c>
      <c r="F46" s="10"/>
      <c r="G46" s="10" t="s">
        <v>94</v>
      </c>
      <c r="H46" s="10"/>
      <c r="I46" s="10"/>
      <c r="J46" s="23">
        <v>65</v>
      </c>
      <c r="K46" s="10"/>
      <c r="L46" s="10"/>
      <c r="M46" s="4"/>
    </row>
    <row r="47" spans="1:13" x14ac:dyDescent="0.3">
      <c r="A47" s="10" t="s">
        <v>6</v>
      </c>
      <c r="B47" s="10" t="s">
        <v>13</v>
      </c>
      <c r="C47" s="10"/>
      <c r="D47" s="10" t="s">
        <v>101</v>
      </c>
      <c r="E47" s="10" t="s">
        <v>102</v>
      </c>
      <c r="F47" s="10"/>
      <c r="G47" s="10" t="s">
        <v>93</v>
      </c>
      <c r="H47" s="10"/>
      <c r="I47" s="10"/>
      <c r="J47" s="18">
        <v>78.75</v>
      </c>
      <c r="K47" s="10"/>
      <c r="L47" s="25">
        <f>IF(J47&lt;60,0,IF(J47&gt;=100,0.5,(J47*0.05-2)/8))</f>
        <v>0.2421875</v>
      </c>
      <c r="M47" s="4"/>
    </row>
    <row r="48" spans="1:13" x14ac:dyDescent="0.3">
      <c r="A48" s="10" t="s">
        <v>6</v>
      </c>
      <c r="B48" s="10" t="s">
        <v>13</v>
      </c>
      <c r="C48" s="10"/>
      <c r="D48" s="10" t="s">
        <v>101</v>
      </c>
      <c r="E48" s="10" t="s">
        <v>102</v>
      </c>
      <c r="F48" s="10"/>
      <c r="G48" s="10" t="s">
        <v>94</v>
      </c>
      <c r="H48" s="10"/>
      <c r="I48" s="10"/>
      <c r="J48" s="18">
        <v>100</v>
      </c>
      <c r="K48" s="10"/>
      <c r="L48" s="25">
        <f>IF(J48&lt;60,0,IF(J48&gt;=100,0.5,(J48*0.05-2)/8))</f>
        <v>0.5</v>
      </c>
      <c r="M48" s="4"/>
    </row>
    <row r="49" spans="1:13" x14ac:dyDescent="0.3">
      <c r="A49" s="11" t="s">
        <v>6</v>
      </c>
      <c r="B49" s="11" t="s">
        <v>14</v>
      </c>
      <c r="C49" s="11"/>
      <c r="D49" s="10" t="s">
        <v>99</v>
      </c>
      <c r="E49" s="10" t="s">
        <v>100</v>
      </c>
      <c r="F49" s="10"/>
      <c r="G49" s="10" t="s">
        <v>93</v>
      </c>
      <c r="H49" s="10"/>
      <c r="I49" s="10"/>
      <c r="J49" s="23">
        <v>76.599999999999994</v>
      </c>
      <c r="K49" s="10"/>
      <c r="L49" s="10"/>
      <c r="M49" s="4"/>
    </row>
    <row r="50" spans="1:13" x14ac:dyDescent="0.3">
      <c r="A50" s="11" t="s">
        <v>6</v>
      </c>
      <c r="B50" s="11" t="s">
        <v>14</v>
      </c>
      <c r="C50" s="11"/>
      <c r="D50" s="10" t="s">
        <v>99</v>
      </c>
      <c r="E50" s="10" t="s">
        <v>100</v>
      </c>
      <c r="F50" s="10"/>
      <c r="G50" s="10" t="s">
        <v>94</v>
      </c>
      <c r="H50" s="10"/>
      <c r="I50" s="10"/>
      <c r="J50" s="23">
        <v>65</v>
      </c>
      <c r="K50" s="10"/>
      <c r="L50" s="10"/>
      <c r="M50" s="4"/>
    </row>
    <row r="51" spans="1:13" x14ac:dyDescent="0.3">
      <c r="A51" s="10" t="s">
        <v>6</v>
      </c>
      <c r="B51" s="10" t="s">
        <v>14</v>
      </c>
      <c r="C51" s="10"/>
      <c r="D51" s="10" t="s">
        <v>101</v>
      </c>
      <c r="E51" s="10" t="s">
        <v>102</v>
      </c>
      <c r="F51" s="10"/>
      <c r="G51" s="10" t="s">
        <v>93</v>
      </c>
      <c r="H51" s="10"/>
      <c r="I51" s="10"/>
      <c r="J51" s="18">
        <v>82.5</v>
      </c>
      <c r="K51" s="10"/>
      <c r="L51" s="25">
        <f>IF(J51&lt;60,0,IF(J51&gt;=100,0.5,(J51*0.05-2)/8))</f>
        <v>0.265625</v>
      </c>
      <c r="M51" s="4"/>
    </row>
    <row r="52" spans="1:13" x14ac:dyDescent="0.3">
      <c r="A52" s="10" t="s">
        <v>6</v>
      </c>
      <c r="B52" s="10" t="s">
        <v>14</v>
      </c>
      <c r="C52" s="10"/>
      <c r="D52" s="10" t="s">
        <v>101</v>
      </c>
      <c r="E52" s="10" t="s">
        <v>102</v>
      </c>
      <c r="F52" s="10"/>
      <c r="G52" s="10" t="s">
        <v>94</v>
      </c>
      <c r="H52" s="10"/>
      <c r="I52" s="10"/>
      <c r="J52" s="18">
        <v>100</v>
      </c>
      <c r="K52" s="10"/>
      <c r="L52" s="25">
        <f>IF(J52&lt;60,0,IF(J52&gt;=100,0.5,(J52*0.05-2)/8))</f>
        <v>0.5</v>
      </c>
      <c r="M52" s="4"/>
    </row>
    <row r="53" spans="1:13" x14ac:dyDescent="0.3">
      <c r="A53" s="11" t="s">
        <v>6</v>
      </c>
      <c r="B53" s="11" t="s">
        <v>15</v>
      </c>
      <c r="C53" s="11"/>
      <c r="D53" s="10" t="s">
        <v>99</v>
      </c>
      <c r="E53" s="10" t="s">
        <v>100</v>
      </c>
      <c r="F53" s="10"/>
      <c r="G53" s="10" t="s">
        <v>93</v>
      </c>
      <c r="H53" s="10"/>
      <c r="I53" s="10"/>
      <c r="J53" s="23">
        <v>80.599999999999994</v>
      </c>
      <c r="K53" s="10"/>
      <c r="L53" s="10"/>
      <c r="M53" s="4"/>
    </row>
    <row r="54" spans="1:13" x14ac:dyDescent="0.3">
      <c r="A54" s="11" t="s">
        <v>6</v>
      </c>
      <c r="B54" s="11" t="s">
        <v>15</v>
      </c>
      <c r="C54" s="11"/>
      <c r="D54" s="10" t="s">
        <v>99</v>
      </c>
      <c r="E54" s="10" t="s">
        <v>100</v>
      </c>
      <c r="F54" s="10"/>
      <c r="G54" s="10" t="s">
        <v>94</v>
      </c>
      <c r="H54" s="10"/>
      <c r="I54" s="10"/>
      <c r="J54" s="23">
        <v>65</v>
      </c>
      <c r="K54" s="10"/>
      <c r="L54" s="10"/>
      <c r="M54" s="4"/>
    </row>
    <row r="55" spans="1:13" x14ac:dyDescent="0.3">
      <c r="A55" s="10" t="s">
        <v>6</v>
      </c>
      <c r="B55" s="10" t="s">
        <v>15</v>
      </c>
      <c r="C55" s="10"/>
      <c r="D55" s="10" t="s">
        <v>101</v>
      </c>
      <c r="E55" s="10" t="s">
        <v>102</v>
      </c>
      <c r="F55" s="10"/>
      <c r="G55" s="10" t="s">
        <v>93</v>
      </c>
      <c r="H55" s="10"/>
      <c r="I55" s="10"/>
      <c r="J55" s="18">
        <v>82.5</v>
      </c>
      <c r="K55" s="10"/>
      <c r="L55" s="25">
        <f>IF(J55&lt;60,0,IF(J55&gt;=100,0.5,(J55*0.05-2)/8))</f>
        <v>0.265625</v>
      </c>
      <c r="M55" s="4"/>
    </row>
    <row r="56" spans="1:13" x14ac:dyDescent="0.3">
      <c r="A56" s="10" t="s">
        <v>6</v>
      </c>
      <c r="B56" s="10" t="s">
        <v>15</v>
      </c>
      <c r="C56" s="10"/>
      <c r="D56" s="10" t="s">
        <v>101</v>
      </c>
      <c r="E56" s="10" t="s">
        <v>102</v>
      </c>
      <c r="F56" s="10"/>
      <c r="G56" s="10" t="s">
        <v>94</v>
      </c>
      <c r="H56" s="10"/>
      <c r="I56" s="10"/>
      <c r="J56" s="18">
        <v>100</v>
      </c>
      <c r="K56" s="10"/>
      <c r="L56" s="25">
        <f>IF(J56&lt;60,0,IF(J56&gt;=100,0.5,(J56*0.05-2)/8))</f>
        <v>0.5</v>
      </c>
    </row>
    <row r="57" spans="1:13" x14ac:dyDescent="0.3">
      <c r="A57" s="11" t="s">
        <v>6</v>
      </c>
      <c r="B57" s="11" t="s">
        <v>9</v>
      </c>
      <c r="C57" s="11"/>
      <c r="D57" s="10" t="s">
        <v>99</v>
      </c>
      <c r="E57" s="10" t="s">
        <v>100</v>
      </c>
      <c r="F57" s="10"/>
      <c r="G57" s="10" t="s">
        <v>93</v>
      </c>
      <c r="H57" s="10"/>
      <c r="I57" s="10"/>
      <c r="J57" s="23">
        <v>91.6</v>
      </c>
      <c r="K57" s="10"/>
      <c r="L57" s="10"/>
    </row>
    <row r="58" spans="1:13" x14ac:dyDescent="0.3">
      <c r="A58" s="11" t="s">
        <v>6</v>
      </c>
      <c r="B58" s="11" t="s">
        <v>9</v>
      </c>
      <c r="C58" s="11"/>
      <c r="D58" s="10" t="s">
        <v>99</v>
      </c>
      <c r="E58" s="10" t="s">
        <v>100</v>
      </c>
      <c r="F58" s="10"/>
      <c r="G58" s="10" t="s">
        <v>94</v>
      </c>
      <c r="H58" s="10"/>
      <c r="I58" s="10"/>
      <c r="J58" s="23">
        <v>75</v>
      </c>
      <c r="K58" s="10"/>
      <c r="L58" s="10"/>
    </row>
    <row r="59" spans="1:13" x14ac:dyDescent="0.3">
      <c r="A59" s="10" t="s">
        <v>6</v>
      </c>
      <c r="B59" s="10" t="s">
        <v>9</v>
      </c>
      <c r="C59" s="10"/>
      <c r="D59" s="10" t="s">
        <v>101</v>
      </c>
      <c r="E59" s="10" t="s">
        <v>102</v>
      </c>
      <c r="F59" s="10"/>
      <c r="G59" s="10" t="s">
        <v>93</v>
      </c>
      <c r="H59" s="10"/>
      <c r="I59" s="10"/>
      <c r="J59" s="18">
        <v>100</v>
      </c>
      <c r="K59" s="10"/>
      <c r="L59" s="25">
        <f>IF(J59&lt;60,0,IF(J59&gt;=100,0.5,(J59*0.05-2)/8))</f>
        <v>0.5</v>
      </c>
    </row>
    <row r="60" spans="1:13" x14ac:dyDescent="0.3">
      <c r="A60" s="10" t="s">
        <v>6</v>
      </c>
      <c r="B60" s="10" t="s">
        <v>9</v>
      </c>
      <c r="C60" s="10"/>
      <c r="D60" s="10" t="s">
        <v>101</v>
      </c>
      <c r="E60" s="10" t="s">
        <v>102</v>
      </c>
      <c r="F60" s="10"/>
      <c r="G60" s="10" t="s">
        <v>94</v>
      </c>
      <c r="H60" s="10"/>
      <c r="I60" s="10"/>
      <c r="J60" s="18">
        <v>100</v>
      </c>
      <c r="K60" s="10"/>
      <c r="L60" s="25">
        <f>IF(J60&lt;60,0,IF(J60&gt;=100,0.5,(J60*0.05-2)/8))</f>
        <v>0.5</v>
      </c>
    </row>
    <row r="61" spans="1:13" x14ac:dyDescent="0.3">
      <c r="A61" s="11" t="s">
        <v>6</v>
      </c>
      <c r="B61" s="11" t="s">
        <v>21</v>
      </c>
      <c r="C61" s="11"/>
      <c r="D61" s="10" t="s">
        <v>99</v>
      </c>
      <c r="E61" s="10" t="s">
        <v>100</v>
      </c>
      <c r="F61" s="10"/>
      <c r="G61" s="10" t="s">
        <v>93</v>
      </c>
      <c r="H61" s="10"/>
      <c r="I61" s="10"/>
      <c r="J61" s="23">
        <v>73.8</v>
      </c>
      <c r="K61" s="10"/>
      <c r="L61" s="24"/>
    </row>
    <row r="62" spans="1:13" x14ac:dyDescent="0.3">
      <c r="A62" s="11" t="s">
        <v>6</v>
      </c>
      <c r="B62" s="11" t="s">
        <v>21</v>
      </c>
      <c r="C62" s="11"/>
      <c r="D62" s="10" t="s">
        <v>99</v>
      </c>
      <c r="E62" s="10" t="s">
        <v>100</v>
      </c>
      <c r="F62" s="10"/>
      <c r="G62" s="10" t="s">
        <v>94</v>
      </c>
      <c r="H62" s="10"/>
      <c r="I62" s="10"/>
      <c r="J62" s="23">
        <v>85</v>
      </c>
      <c r="K62" s="10"/>
      <c r="L62" s="24"/>
    </row>
    <row r="63" spans="1:13" x14ac:dyDescent="0.3">
      <c r="A63" s="10" t="s">
        <v>6</v>
      </c>
      <c r="B63" s="10" t="s">
        <v>21</v>
      </c>
      <c r="C63" s="10"/>
      <c r="D63" s="10" t="s">
        <v>101</v>
      </c>
      <c r="E63" s="10" t="s">
        <v>102</v>
      </c>
      <c r="F63" s="10"/>
      <c r="G63" s="10" t="s">
        <v>93</v>
      </c>
      <c r="H63" s="10"/>
      <c r="I63" s="10"/>
      <c r="J63" s="18">
        <v>71.25</v>
      </c>
      <c r="K63" s="10"/>
      <c r="L63" s="25">
        <f>IF(J63&lt;60,0,IF(J63&gt;=100,0.5,(J63*0.05-2)/8))</f>
        <v>0.1953125</v>
      </c>
    </row>
    <row r="64" spans="1:13" x14ac:dyDescent="0.3">
      <c r="A64" s="10" t="s">
        <v>6</v>
      </c>
      <c r="B64" s="10" t="s">
        <v>21</v>
      </c>
      <c r="C64" s="10"/>
      <c r="D64" s="10" t="s">
        <v>101</v>
      </c>
      <c r="E64" s="10" t="s">
        <v>102</v>
      </c>
      <c r="F64" s="10"/>
      <c r="G64" s="10" t="s">
        <v>94</v>
      </c>
      <c r="H64" s="10"/>
      <c r="I64" s="10"/>
      <c r="J64" s="18">
        <v>100</v>
      </c>
      <c r="K64" s="10"/>
      <c r="L64" s="25">
        <f>IF(J64&lt;60,0,IF(J64&gt;=100,0.5,(J64*0.05-2)/8))</f>
        <v>0.5</v>
      </c>
    </row>
    <row r="65" spans="1:12" x14ac:dyDescent="0.3">
      <c r="A65" s="11" t="s">
        <v>6</v>
      </c>
      <c r="B65" s="11" t="s">
        <v>10</v>
      </c>
      <c r="C65" s="11"/>
      <c r="D65" s="10" t="s">
        <v>99</v>
      </c>
      <c r="E65" s="10" t="s">
        <v>100</v>
      </c>
      <c r="F65" s="10"/>
      <c r="G65" s="10" t="s">
        <v>93</v>
      </c>
      <c r="H65" s="10"/>
      <c r="I65" s="10"/>
      <c r="J65" s="23">
        <v>88</v>
      </c>
      <c r="K65" s="10"/>
      <c r="L65" s="10"/>
    </row>
    <row r="66" spans="1:12" x14ac:dyDescent="0.3">
      <c r="A66" s="11" t="s">
        <v>6</v>
      </c>
      <c r="B66" s="11" t="s">
        <v>10</v>
      </c>
      <c r="C66" s="11"/>
      <c r="D66" s="10" t="s">
        <v>99</v>
      </c>
      <c r="E66" s="10" t="s">
        <v>100</v>
      </c>
      <c r="F66" s="10"/>
      <c r="G66" s="10" t="s">
        <v>94</v>
      </c>
      <c r="H66" s="10"/>
      <c r="I66" s="10"/>
      <c r="J66" s="23">
        <v>65</v>
      </c>
      <c r="K66" s="10"/>
      <c r="L66" s="10"/>
    </row>
    <row r="67" spans="1:12" x14ac:dyDescent="0.3">
      <c r="A67" s="10" t="s">
        <v>6</v>
      </c>
      <c r="B67" s="10" t="s">
        <v>10</v>
      </c>
      <c r="C67" s="10"/>
      <c r="D67" s="10" t="s">
        <v>101</v>
      </c>
      <c r="E67" s="10" t="s">
        <v>102</v>
      </c>
      <c r="F67" s="10"/>
      <c r="G67" s="10" t="s">
        <v>93</v>
      </c>
      <c r="H67" s="10"/>
      <c r="I67" s="10"/>
      <c r="J67" s="18">
        <v>100</v>
      </c>
      <c r="K67" s="10"/>
      <c r="L67" s="25">
        <f>IF(J67&lt;60,0,IF(J67&gt;=100,0.5,(J67*0.05-2)/8))</f>
        <v>0.5</v>
      </c>
    </row>
    <row r="68" spans="1:12" x14ac:dyDescent="0.3">
      <c r="A68" s="10" t="s">
        <v>6</v>
      </c>
      <c r="B68" s="10" t="s">
        <v>10</v>
      </c>
      <c r="C68" s="10"/>
      <c r="D68" s="10" t="s">
        <v>101</v>
      </c>
      <c r="E68" s="10" t="s">
        <v>102</v>
      </c>
      <c r="F68" s="10"/>
      <c r="G68" s="10" t="s">
        <v>94</v>
      </c>
      <c r="H68" s="10"/>
      <c r="I68" s="10"/>
      <c r="J68" s="18">
        <v>100</v>
      </c>
      <c r="K68" s="10"/>
      <c r="L68" s="25">
        <f>IF(J68&lt;60,0,IF(J68&gt;=100,0.5,(J68*0.05-2)/8))</f>
        <v>0.5</v>
      </c>
    </row>
    <row r="69" spans="1:12" x14ac:dyDescent="0.3">
      <c r="A69" s="11" t="s">
        <v>6</v>
      </c>
      <c r="B69" s="11" t="s">
        <v>23</v>
      </c>
      <c r="C69" s="11"/>
      <c r="D69" s="10" t="s">
        <v>99</v>
      </c>
      <c r="E69" s="10" t="s">
        <v>100</v>
      </c>
      <c r="F69" s="10"/>
      <c r="G69" s="10" t="s">
        <v>93</v>
      </c>
      <c r="H69" s="10"/>
      <c r="I69" s="10"/>
      <c r="J69" s="23">
        <v>72.2</v>
      </c>
      <c r="K69" s="10"/>
      <c r="L69" s="24"/>
    </row>
    <row r="70" spans="1:12" x14ac:dyDescent="0.3">
      <c r="A70" s="11" t="s">
        <v>6</v>
      </c>
      <c r="B70" s="11" t="s">
        <v>23</v>
      </c>
      <c r="C70" s="11"/>
      <c r="D70" s="10" t="s">
        <v>99</v>
      </c>
      <c r="E70" s="10" t="s">
        <v>100</v>
      </c>
      <c r="F70" s="10"/>
      <c r="G70" s="10" t="s">
        <v>94</v>
      </c>
      <c r="H70" s="10"/>
      <c r="I70" s="10"/>
      <c r="J70" s="23">
        <v>65</v>
      </c>
      <c r="K70" s="10"/>
      <c r="L70" s="24"/>
    </row>
    <row r="71" spans="1:12" x14ac:dyDescent="0.3">
      <c r="A71" s="10" t="s">
        <v>6</v>
      </c>
      <c r="B71" s="10" t="s">
        <v>23</v>
      </c>
      <c r="C71" s="10"/>
      <c r="D71" s="10" t="s">
        <v>101</v>
      </c>
      <c r="E71" s="10" t="s">
        <v>102</v>
      </c>
      <c r="F71" s="10"/>
      <c r="G71" s="10" t="s">
        <v>93</v>
      </c>
      <c r="H71" s="10"/>
      <c r="I71" s="10"/>
      <c r="J71" s="18">
        <v>0</v>
      </c>
      <c r="K71" s="10"/>
      <c r="L71" s="25">
        <f>IF(J71&lt;60,0,IF(J71&gt;=100,0.5,(J71*0.05-2)/8))</f>
        <v>0</v>
      </c>
    </row>
    <row r="72" spans="1:12" x14ac:dyDescent="0.3">
      <c r="A72" s="10" t="s">
        <v>6</v>
      </c>
      <c r="B72" s="10" t="s">
        <v>23</v>
      </c>
      <c r="C72" s="10"/>
      <c r="D72" s="10" t="s">
        <v>101</v>
      </c>
      <c r="E72" s="10" t="s">
        <v>102</v>
      </c>
      <c r="F72" s="10"/>
      <c r="G72" s="10" t="s">
        <v>94</v>
      </c>
      <c r="H72" s="10"/>
      <c r="I72" s="10"/>
      <c r="J72" s="18">
        <v>0</v>
      </c>
      <c r="K72" s="10"/>
      <c r="L72" s="25">
        <f>IF(J72&lt;60,0,IF(J72&gt;=100,0.5,(J72*0.05-2)/8))</f>
        <v>0</v>
      </c>
    </row>
    <row r="73" spans="1:12" x14ac:dyDescent="0.3">
      <c r="A73" s="11" t="s">
        <v>6</v>
      </c>
      <c r="B73" s="11" t="s">
        <v>19</v>
      </c>
      <c r="C73" s="11"/>
      <c r="D73" s="10" t="s">
        <v>99</v>
      </c>
      <c r="E73" s="10" t="s">
        <v>100</v>
      </c>
      <c r="F73" s="10"/>
      <c r="G73" s="10" t="s">
        <v>93</v>
      </c>
      <c r="H73" s="10"/>
      <c r="I73" s="10"/>
      <c r="J73" s="23">
        <v>90</v>
      </c>
      <c r="K73" s="10"/>
      <c r="L73" s="24"/>
    </row>
    <row r="74" spans="1:12" x14ac:dyDescent="0.3">
      <c r="A74" s="11" t="s">
        <v>6</v>
      </c>
      <c r="B74" s="11" t="s">
        <v>19</v>
      </c>
      <c r="C74" s="11"/>
      <c r="D74" s="10" t="s">
        <v>99</v>
      </c>
      <c r="E74" s="10" t="s">
        <v>100</v>
      </c>
      <c r="F74" s="10"/>
      <c r="G74" s="10" t="s">
        <v>94</v>
      </c>
      <c r="H74" s="10"/>
      <c r="I74" s="10"/>
      <c r="J74" s="23">
        <v>65</v>
      </c>
      <c r="K74" s="10"/>
      <c r="L74" s="24"/>
    </row>
    <row r="75" spans="1:12" x14ac:dyDescent="0.3">
      <c r="A75" s="10" t="s">
        <v>6</v>
      </c>
      <c r="B75" s="10" t="s">
        <v>19</v>
      </c>
      <c r="C75" s="10"/>
      <c r="D75" s="10" t="s">
        <v>101</v>
      </c>
      <c r="E75" s="10" t="s">
        <v>102</v>
      </c>
      <c r="F75" s="10"/>
      <c r="G75" s="10" t="s">
        <v>93</v>
      </c>
      <c r="H75" s="10"/>
      <c r="I75" s="10"/>
      <c r="J75" s="18">
        <v>0</v>
      </c>
      <c r="K75" s="10"/>
      <c r="L75" s="25">
        <f>IF(J75&lt;60,0,IF(J75&gt;=100,0.5,(J75*0.05-2)/8))</f>
        <v>0</v>
      </c>
    </row>
    <row r="76" spans="1:12" x14ac:dyDescent="0.3">
      <c r="A76" s="10" t="s">
        <v>6</v>
      </c>
      <c r="B76" s="10" t="s">
        <v>19</v>
      </c>
      <c r="C76" s="10"/>
      <c r="D76" s="10" t="s">
        <v>101</v>
      </c>
      <c r="E76" s="10" t="s">
        <v>102</v>
      </c>
      <c r="F76" s="10"/>
      <c r="G76" s="10" t="s">
        <v>94</v>
      </c>
      <c r="H76" s="10"/>
      <c r="I76" s="10"/>
      <c r="J76" s="18">
        <v>0</v>
      </c>
      <c r="K76" s="10"/>
      <c r="L76" s="25">
        <f>IF(J76&lt;60,0,IF(J76&gt;=100,0.5,(J76*0.05-2)/8))</f>
        <v>0</v>
      </c>
    </row>
  </sheetData>
  <sortState xmlns:xlrd2="http://schemas.microsoft.com/office/spreadsheetml/2017/richdata2" ref="A2:L76">
    <sortCondition ref="B2:B76"/>
    <sortCondition ref="D2:D76"/>
    <sortCondition ref="E2:E76"/>
    <sortCondition ref="G2:G76"/>
  </sortState>
  <phoneticPr fontId="13" type="noConversion"/>
  <dataValidations count="3">
    <dataValidation allowBlank="1" showInputMessage="1" showErrorMessage="1" sqref="D1:E1 E58 E59 E60 E61 E62 E65 E66 E67 E68 E69 E70 E71 E72 E73 E74 E75 E76 E2:E57 E63:E64 E77:E1048576" xr:uid="{00000000-0002-0000-0400-000000000000}"/>
    <dataValidation type="list" allowBlank="1" showInputMessage="1" showErrorMessage="1" sqref="G4 G7 G10 G13 G16 G23 G26 G30 G33 G36 G39 G42 G45 G48 G51 G54 G57 F2:F1048576 G2:G3 G5:G6 G8:G9 G11:G12 G14:G15 G17:G18 G19:G20 G21:G22 G24:G25 G27:G29 G31:G32 G34:G35 G37:G38 G58:G76" xr:uid="{00000000-0002-0000-0400-000001000000}">
      <formula1>"上学期,下学期,国家级,省级,市/校级,院级"</formula1>
    </dataValidation>
    <dataValidation type="list" allowBlank="1" showInputMessage="1" showErrorMessage="1" sqref="D58 D59 D60 D61 D62 D65 D66 D67 D68 D69 D70 D71 D72 D73 D74 D75 D76 D2:D57 D63:D64 D77:D1048576" xr:uid="{00000000-0002-0000-0400-000002000000}">
      <formula1>"体育课程成绩,校内外体育竞赛,校内外体育活动"</formula1>
    </dataValidation>
  </dataValidation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6"/>
  <sheetViews>
    <sheetView workbookViewId="0">
      <selection activeCell="E12" sqref="E12"/>
    </sheetView>
  </sheetViews>
  <sheetFormatPr defaultColWidth="9.19921875" defaultRowHeight="13.5" x14ac:dyDescent="0.3"/>
  <cols>
    <col min="1" max="1" width="41.46484375" style="4" customWidth="1"/>
    <col min="2" max="2" width="14.1328125" style="14" customWidth="1"/>
    <col min="3" max="3" width="6" style="4" customWidth="1"/>
    <col min="4" max="4" width="22.46484375" style="4" customWidth="1"/>
    <col min="5" max="5" width="43.3984375" style="4" customWidth="1"/>
    <col min="6" max="6" width="11.53125" style="4" customWidth="1"/>
    <col min="7" max="8" width="8.1328125" style="4" customWidth="1"/>
    <col min="9" max="9" width="6" style="4" customWidth="1"/>
    <col min="10" max="10" width="6" style="15" customWidth="1"/>
    <col min="11" max="11" width="15.1328125" style="4" customWidth="1"/>
    <col min="12" max="12" width="6" style="15" customWidth="1"/>
    <col min="13" max="13" width="39.3984375" customWidth="1"/>
  </cols>
  <sheetData>
    <row r="1" spans="1:13" ht="13.5" customHeight="1" x14ac:dyDescent="0.3">
      <c r="A1" s="10" t="s">
        <v>0</v>
      </c>
      <c r="B1" s="16" t="s">
        <v>1</v>
      </c>
      <c r="C1" s="10" t="s">
        <v>2</v>
      </c>
      <c r="D1" s="10" t="s">
        <v>77</v>
      </c>
      <c r="E1" s="10" t="s">
        <v>78</v>
      </c>
      <c r="F1" s="10" t="s">
        <v>79</v>
      </c>
      <c r="G1" s="10" t="s">
        <v>80</v>
      </c>
      <c r="H1" s="10" t="s">
        <v>96</v>
      </c>
      <c r="I1" s="10" t="s">
        <v>97</v>
      </c>
      <c r="J1" s="18" t="s">
        <v>81</v>
      </c>
      <c r="K1" s="10" t="s">
        <v>98</v>
      </c>
      <c r="L1" s="18" t="s">
        <v>59</v>
      </c>
      <c r="M1" s="4"/>
    </row>
    <row r="2" spans="1:13" ht="13.5" customHeight="1" x14ac:dyDescent="0.3">
      <c r="A2" s="11" t="s">
        <v>6</v>
      </c>
      <c r="B2" s="21" t="s">
        <v>8</v>
      </c>
      <c r="C2" s="11"/>
      <c r="D2" s="11" t="s">
        <v>107</v>
      </c>
      <c r="E2" s="10" t="s">
        <v>108</v>
      </c>
      <c r="F2" s="10" t="s">
        <v>85</v>
      </c>
      <c r="G2" s="10"/>
      <c r="H2" s="10" t="s">
        <v>109</v>
      </c>
      <c r="I2" s="10"/>
      <c r="J2" s="18">
        <v>0.25</v>
      </c>
      <c r="K2" s="10"/>
      <c r="L2" s="18">
        <v>0.25</v>
      </c>
      <c r="M2" s="4"/>
    </row>
    <row r="3" spans="1:13" ht="13.5" customHeight="1" x14ac:dyDescent="0.3">
      <c r="A3" s="11" t="s">
        <v>6</v>
      </c>
      <c r="B3" s="21" t="s">
        <v>12</v>
      </c>
      <c r="C3" s="11"/>
      <c r="D3" s="11" t="s">
        <v>107</v>
      </c>
      <c r="E3" s="10" t="s">
        <v>108</v>
      </c>
      <c r="F3" s="10" t="s">
        <v>85</v>
      </c>
      <c r="G3" s="10"/>
      <c r="H3" s="10" t="s">
        <v>110</v>
      </c>
      <c r="I3" s="10"/>
      <c r="J3" s="18">
        <v>0.5</v>
      </c>
      <c r="K3" s="10"/>
      <c r="L3" s="18">
        <v>0.5</v>
      </c>
    </row>
    <row r="4" spans="1:13" ht="13.5" customHeight="1" x14ac:dyDescent="0.3">
      <c r="A4" s="11" t="s">
        <v>6</v>
      </c>
      <c r="B4" s="21" t="s">
        <v>11</v>
      </c>
      <c r="C4" s="11"/>
      <c r="D4" s="11" t="s">
        <v>107</v>
      </c>
      <c r="E4" s="10" t="s">
        <v>108</v>
      </c>
      <c r="F4" s="10" t="s">
        <v>85</v>
      </c>
      <c r="G4" s="10"/>
      <c r="H4" s="10" t="s">
        <v>109</v>
      </c>
      <c r="I4" s="10"/>
      <c r="J4" s="18">
        <v>0.25</v>
      </c>
      <c r="K4" s="10"/>
      <c r="L4" s="18">
        <v>0.25</v>
      </c>
    </row>
    <row r="5" spans="1:13" ht="13.5" customHeight="1" x14ac:dyDescent="0.3">
      <c r="A5" s="11" t="s">
        <v>6</v>
      </c>
      <c r="B5" s="21" t="s">
        <v>9</v>
      </c>
      <c r="C5" s="11"/>
      <c r="D5" s="11" t="s">
        <v>107</v>
      </c>
      <c r="E5" s="10" t="s">
        <v>108</v>
      </c>
      <c r="F5" s="10" t="s">
        <v>85</v>
      </c>
      <c r="G5" s="10"/>
      <c r="H5" s="10" t="s">
        <v>109</v>
      </c>
      <c r="I5" s="10"/>
      <c r="J5" s="18">
        <v>0.25</v>
      </c>
      <c r="K5" s="10"/>
      <c r="L5" s="18">
        <v>0.25</v>
      </c>
    </row>
    <row r="6" spans="1:13" ht="13.5" customHeight="1" x14ac:dyDescent="0.3">
      <c r="A6" s="11" t="s">
        <v>6</v>
      </c>
      <c r="B6" s="21" t="s">
        <v>9</v>
      </c>
      <c r="C6" s="11"/>
      <c r="D6" s="11" t="s">
        <v>107</v>
      </c>
      <c r="E6" s="10" t="s">
        <v>111</v>
      </c>
      <c r="F6" s="10" t="s">
        <v>85</v>
      </c>
      <c r="G6" s="10"/>
      <c r="H6" s="10" t="s">
        <v>110</v>
      </c>
      <c r="I6" s="10"/>
      <c r="J6" s="18">
        <v>0.5</v>
      </c>
      <c r="K6" s="10"/>
      <c r="L6" s="18">
        <v>0.5</v>
      </c>
    </row>
  </sheetData>
  <sortState xmlns:xlrd2="http://schemas.microsoft.com/office/spreadsheetml/2017/richdata2" ref="A2:L6">
    <sortCondition ref="B2:B6"/>
  </sortState>
  <phoneticPr fontId="13" type="noConversion"/>
  <dataValidations count="3">
    <dataValidation type="list" allowBlank="1" showInputMessage="1" showErrorMessage="1" sqref="G3 F6:F1048576" xr:uid="{00000000-0002-0000-0500-000000000000}">
      <formula1>"上学期,下学期,国家级,市/校级,院级,省级"</formula1>
    </dataValidation>
    <dataValidation allowBlank="1" showInputMessage="1" showErrorMessage="1" sqref="D1:D5" xr:uid="{00000000-0002-0000-0500-000001000000}"/>
    <dataValidation type="list" allowBlank="1" showInputMessage="1" showErrorMessage="1" sqref="D6:D1048576" xr:uid="{00000000-0002-0000-0500-000002000000}">
      <formula1>"文化艺术实践,校内外文化艺术竞赛"</formula1>
    </dataValidation>
  </dataValidation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37"/>
  <sheetViews>
    <sheetView topLeftCell="A19" workbookViewId="0">
      <selection activeCell="D1" sqref="D1"/>
    </sheetView>
  </sheetViews>
  <sheetFormatPr defaultColWidth="9.19921875" defaultRowHeight="13.5" x14ac:dyDescent="0.3"/>
  <cols>
    <col min="1" max="1" width="43.19921875" style="4" customWidth="1"/>
    <col min="2" max="2" width="14.1328125" style="14" customWidth="1"/>
    <col min="3" max="3" width="11" style="4" customWidth="1"/>
    <col min="4" max="4" width="22.46484375" style="4" customWidth="1"/>
    <col min="5" max="5" width="39.53125" style="4" customWidth="1"/>
    <col min="6" max="6" width="11.53125" style="4" customWidth="1"/>
    <col min="7" max="8" width="6" style="4" customWidth="1"/>
    <col min="9" max="9" width="7.06640625" style="15" customWidth="1"/>
    <col min="10" max="10" width="15.1328125" style="4" customWidth="1"/>
    <col min="11" max="11" width="7.06640625" style="15" customWidth="1"/>
    <col min="12" max="12" width="32.1328125" customWidth="1"/>
  </cols>
  <sheetData>
    <row r="1" spans="1:12" x14ac:dyDescent="0.3">
      <c r="A1" s="10" t="s">
        <v>0</v>
      </c>
      <c r="B1" s="16" t="s">
        <v>1</v>
      </c>
      <c r="C1" s="10" t="s">
        <v>2</v>
      </c>
      <c r="D1" s="10" t="s">
        <v>77</v>
      </c>
      <c r="E1" s="10" t="s">
        <v>78</v>
      </c>
      <c r="F1" s="10" t="s">
        <v>79</v>
      </c>
      <c r="G1" s="10" t="s">
        <v>96</v>
      </c>
      <c r="H1" s="10" t="s">
        <v>97</v>
      </c>
      <c r="I1" s="18" t="s">
        <v>81</v>
      </c>
      <c r="J1" s="10" t="s">
        <v>98</v>
      </c>
      <c r="K1" s="18" t="s">
        <v>59</v>
      </c>
      <c r="L1" s="4"/>
    </row>
    <row r="2" spans="1:12" x14ac:dyDescent="0.3">
      <c r="A2" s="10" t="s">
        <v>6</v>
      </c>
      <c r="B2" s="17" t="s">
        <v>16</v>
      </c>
      <c r="C2" s="17"/>
      <c r="D2" s="10" t="s">
        <v>112</v>
      </c>
      <c r="E2" s="10"/>
      <c r="F2" s="10"/>
      <c r="G2" s="10"/>
      <c r="H2" s="10"/>
      <c r="I2" s="19">
        <v>1.46133333333333</v>
      </c>
      <c r="J2" s="10"/>
      <c r="K2" s="20">
        <f>I2</f>
        <v>1.46133333333333</v>
      </c>
    </row>
    <row r="3" spans="1:12" x14ac:dyDescent="0.3">
      <c r="A3" s="10" t="s">
        <v>6</v>
      </c>
      <c r="B3" s="16" t="s">
        <v>16</v>
      </c>
      <c r="C3" s="10"/>
      <c r="D3" s="10" t="s">
        <v>113</v>
      </c>
      <c r="E3" s="10"/>
      <c r="F3" s="10" t="s">
        <v>114</v>
      </c>
      <c r="G3" s="10"/>
      <c r="H3" s="10"/>
      <c r="I3" s="18"/>
      <c r="J3" s="10"/>
      <c r="K3" s="18">
        <v>7.4999999999999997E-2</v>
      </c>
    </row>
    <row r="4" spans="1:12" x14ac:dyDescent="0.3">
      <c r="A4" s="10" t="s">
        <v>6</v>
      </c>
      <c r="B4" s="17" t="s">
        <v>8</v>
      </c>
      <c r="C4" s="17"/>
      <c r="D4" s="10" t="s">
        <v>112</v>
      </c>
      <c r="E4" s="10"/>
      <c r="F4" s="10"/>
      <c r="G4" s="10"/>
      <c r="H4" s="10"/>
      <c r="I4" s="19">
        <v>1.4576</v>
      </c>
      <c r="J4" s="10"/>
      <c r="K4" s="20">
        <f>I4</f>
        <v>1.4576</v>
      </c>
    </row>
    <row r="5" spans="1:12" x14ac:dyDescent="0.3">
      <c r="A5" s="10" t="s">
        <v>6</v>
      </c>
      <c r="B5" s="16" t="s">
        <v>8</v>
      </c>
      <c r="C5" s="10"/>
      <c r="D5" s="10" t="s">
        <v>113</v>
      </c>
      <c r="E5" s="10"/>
      <c r="F5" s="10" t="s">
        <v>114</v>
      </c>
      <c r="G5" s="10"/>
      <c r="H5" s="10"/>
      <c r="I5" s="18"/>
      <c r="J5" s="10"/>
      <c r="K5" s="18">
        <v>3</v>
      </c>
    </row>
    <row r="6" spans="1:12" x14ac:dyDescent="0.3">
      <c r="A6" s="10" t="s">
        <v>6</v>
      </c>
      <c r="B6" s="17" t="s">
        <v>22</v>
      </c>
      <c r="C6" s="17"/>
      <c r="D6" s="10" t="s">
        <v>112</v>
      </c>
      <c r="E6" s="10"/>
      <c r="F6" s="10"/>
      <c r="G6" s="10"/>
      <c r="H6" s="10"/>
      <c r="I6" s="19">
        <v>1.4827999999999999</v>
      </c>
      <c r="J6" s="10"/>
      <c r="K6" s="20">
        <f>I6</f>
        <v>1.4827999999999999</v>
      </c>
    </row>
    <row r="7" spans="1:12" x14ac:dyDescent="0.3">
      <c r="A7" s="10" t="s">
        <v>6</v>
      </c>
      <c r="B7" s="16" t="s">
        <v>22</v>
      </c>
      <c r="C7" s="10"/>
      <c r="D7" s="10" t="s">
        <v>113</v>
      </c>
      <c r="E7" s="10"/>
      <c r="F7" s="10" t="s">
        <v>114</v>
      </c>
      <c r="G7" s="10"/>
      <c r="H7" s="10"/>
      <c r="I7" s="18"/>
      <c r="J7" s="10"/>
      <c r="K7" s="18">
        <v>0</v>
      </c>
    </row>
    <row r="8" spans="1:12" x14ac:dyDescent="0.3">
      <c r="A8" s="10" t="s">
        <v>6</v>
      </c>
      <c r="B8" s="17" t="s">
        <v>18</v>
      </c>
      <c r="C8" s="17"/>
      <c r="D8" s="10" t="s">
        <v>112</v>
      </c>
      <c r="E8" s="10"/>
      <c r="F8" s="10"/>
      <c r="G8" s="10"/>
      <c r="H8" s="10"/>
      <c r="I8" s="19">
        <v>1.5185555555555501</v>
      </c>
      <c r="J8" s="10"/>
      <c r="K8" s="20">
        <f>I8</f>
        <v>1.5185555555555501</v>
      </c>
    </row>
    <row r="9" spans="1:12" x14ac:dyDescent="0.3">
      <c r="A9" s="10" t="s">
        <v>6</v>
      </c>
      <c r="B9" s="16" t="s">
        <v>18</v>
      </c>
      <c r="C9" s="10"/>
      <c r="D9" s="10" t="s">
        <v>113</v>
      </c>
      <c r="E9" s="10"/>
      <c r="F9" s="10" t="s">
        <v>114</v>
      </c>
      <c r="G9" s="10"/>
      <c r="H9" s="10"/>
      <c r="I9" s="18"/>
      <c r="J9" s="10"/>
      <c r="K9" s="18">
        <v>0</v>
      </c>
    </row>
    <row r="10" spans="1:12" x14ac:dyDescent="0.3">
      <c r="A10" s="10" t="s">
        <v>6</v>
      </c>
      <c r="B10" s="17" t="s">
        <v>12</v>
      </c>
      <c r="C10" s="17"/>
      <c r="D10" s="10" t="s">
        <v>112</v>
      </c>
      <c r="E10" s="10"/>
      <c r="F10" s="10"/>
      <c r="G10" s="10"/>
      <c r="H10" s="10"/>
      <c r="I10" s="19">
        <v>1.4827999999999999</v>
      </c>
      <c r="J10" s="10"/>
      <c r="K10" s="20">
        <f>I10</f>
        <v>1.4827999999999999</v>
      </c>
    </row>
    <row r="11" spans="1:12" x14ac:dyDescent="0.3">
      <c r="A11" s="10" t="s">
        <v>6</v>
      </c>
      <c r="B11" s="16" t="s">
        <v>12</v>
      </c>
      <c r="C11" s="10"/>
      <c r="D11" s="10" t="s">
        <v>113</v>
      </c>
      <c r="E11" s="10"/>
      <c r="F11" s="10" t="s">
        <v>114</v>
      </c>
      <c r="G11" s="10"/>
      <c r="H11" s="10"/>
      <c r="I11" s="18"/>
      <c r="J11" s="10"/>
      <c r="K11" s="18">
        <v>0.47499999999999998</v>
      </c>
    </row>
    <row r="12" spans="1:12" x14ac:dyDescent="0.3">
      <c r="A12" s="10" t="s">
        <v>6</v>
      </c>
      <c r="B12" s="17" t="s">
        <v>17</v>
      </c>
      <c r="C12" s="17"/>
      <c r="D12" s="10" t="s">
        <v>112</v>
      </c>
      <c r="E12" s="10"/>
      <c r="F12" s="10"/>
      <c r="G12" s="10"/>
      <c r="H12" s="10"/>
      <c r="I12" s="19">
        <v>1.5294000000000001</v>
      </c>
      <c r="J12" s="10"/>
      <c r="K12" s="20">
        <f>I12</f>
        <v>1.5294000000000001</v>
      </c>
    </row>
    <row r="13" spans="1:12" x14ac:dyDescent="0.3">
      <c r="A13" s="10" t="s">
        <v>6</v>
      </c>
      <c r="B13" s="16" t="s">
        <v>17</v>
      </c>
      <c r="C13" s="10"/>
      <c r="D13" s="10" t="s">
        <v>113</v>
      </c>
      <c r="E13" s="10"/>
      <c r="F13" s="10" t="s">
        <v>114</v>
      </c>
      <c r="G13" s="10"/>
      <c r="H13" s="10"/>
      <c r="I13" s="18"/>
      <c r="J13" s="10"/>
      <c r="K13" s="18">
        <v>0.15</v>
      </c>
    </row>
    <row r="14" spans="1:12" x14ac:dyDescent="0.3">
      <c r="A14" s="10" t="s">
        <v>6</v>
      </c>
      <c r="B14" s="17" t="s">
        <v>11</v>
      </c>
      <c r="C14" s="17"/>
      <c r="D14" s="10" t="s">
        <v>112</v>
      </c>
      <c r="E14" s="10"/>
      <c r="F14" s="10"/>
      <c r="G14" s="10"/>
      <c r="H14" s="10"/>
      <c r="I14" s="19">
        <v>1.5185555555555501</v>
      </c>
      <c r="J14" s="10"/>
      <c r="K14" s="20">
        <f>I14</f>
        <v>1.5185555555555501</v>
      </c>
    </row>
    <row r="15" spans="1:12" x14ac:dyDescent="0.3">
      <c r="A15" s="10" t="s">
        <v>6</v>
      </c>
      <c r="B15" s="16" t="s">
        <v>11</v>
      </c>
      <c r="C15" s="10"/>
      <c r="D15" s="10" t="s">
        <v>113</v>
      </c>
      <c r="E15" s="10"/>
      <c r="F15" s="10" t="s">
        <v>114</v>
      </c>
      <c r="G15" s="10"/>
      <c r="H15" s="10"/>
      <c r="I15" s="18"/>
      <c r="J15" s="10"/>
      <c r="K15" s="18">
        <v>1.7</v>
      </c>
    </row>
    <row r="16" spans="1:12" x14ac:dyDescent="0.3">
      <c r="A16" s="10" t="s">
        <v>6</v>
      </c>
      <c r="B16" s="17" t="s">
        <v>20</v>
      </c>
      <c r="C16" s="17"/>
      <c r="D16" s="10" t="s">
        <v>112</v>
      </c>
      <c r="E16" s="10"/>
      <c r="F16" s="10"/>
      <c r="G16" s="10"/>
      <c r="H16" s="10"/>
      <c r="I16" s="19">
        <v>1.5185555555555501</v>
      </c>
      <c r="J16" s="10"/>
      <c r="K16" s="20">
        <f>I16</f>
        <v>1.5185555555555501</v>
      </c>
    </row>
    <row r="17" spans="1:11" x14ac:dyDescent="0.3">
      <c r="A17" s="10" t="s">
        <v>6</v>
      </c>
      <c r="B17" s="16" t="s">
        <v>20</v>
      </c>
      <c r="C17" s="10"/>
      <c r="D17" s="10" t="s">
        <v>113</v>
      </c>
      <c r="E17" s="10"/>
      <c r="F17" s="10" t="s">
        <v>114</v>
      </c>
      <c r="G17" s="10"/>
      <c r="H17" s="10"/>
      <c r="I17" s="18"/>
      <c r="J17" s="10"/>
      <c r="K17" s="18">
        <v>0</v>
      </c>
    </row>
    <row r="18" spans="1:11" x14ac:dyDescent="0.3">
      <c r="A18" s="10" t="s">
        <v>6</v>
      </c>
      <c r="B18" s="17" t="s">
        <v>24</v>
      </c>
      <c r="C18" s="17"/>
      <c r="D18" s="10" t="s">
        <v>112</v>
      </c>
      <c r="E18" s="10"/>
      <c r="F18" s="10"/>
      <c r="G18" s="10"/>
      <c r="H18" s="10"/>
      <c r="I18" s="19">
        <v>1.446</v>
      </c>
      <c r="J18" s="10"/>
      <c r="K18" s="20">
        <f>I18</f>
        <v>1.446</v>
      </c>
    </row>
    <row r="19" spans="1:11" x14ac:dyDescent="0.3">
      <c r="A19" s="10" t="s">
        <v>6</v>
      </c>
      <c r="B19" s="16" t="s">
        <v>24</v>
      </c>
      <c r="C19" s="10"/>
      <c r="D19" s="10" t="s">
        <v>113</v>
      </c>
      <c r="E19" s="10"/>
      <c r="F19" s="10" t="s">
        <v>114</v>
      </c>
      <c r="G19" s="10"/>
      <c r="H19" s="10"/>
      <c r="I19" s="18"/>
      <c r="J19" s="10"/>
      <c r="K19" s="18">
        <v>0</v>
      </c>
    </row>
    <row r="20" spans="1:11" x14ac:dyDescent="0.3">
      <c r="A20" s="10" t="s">
        <v>6</v>
      </c>
      <c r="B20" s="17" t="s">
        <v>7</v>
      </c>
      <c r="C20" s="17"/>
      <c r="D20" s="10" t="s">
        <v>112</v>
      </c>
      <c r="E20" s="10"/>
      <c r="F20" s="10"/>
      <c r="G20" s="10"/>
      <c r="H20" s="10"/>
      <c r="I20" s="19">
        <v>1.345</v>
      </c>
      <c r="J20" s="10"/>
      <c r="K20" s="20">
        <f>I20</f>
        <v>1.345</v>
      </c>
    </row>
    <row r="21" spans="1:11" x14ac:dyDescent="0.3">
      <c r="A21" s="10" t="s">
        <v>6</v>
      </c>
      <c r="B21" s="16" t="s">
        <v>7</v>
      </c>
      <c r="C21" s="10"/>
      <c r="D21" s="10" t="s">
        <v>113</v>
      </c>
      <c r="E21" s="10"/>
      <c r="F21" s="10" t="s">
        <v>114</v>
      </c>
      <c r="G21" s="10"/>
      <c r="H21" s="10"/>
      <c r="I21" s="18"/>
      <c r="J21" s="10"/>
      <c r="K21" s="18">
        <v>0.55000000000000004</v>
      </c>
    </row>
    <row r="22" spans="1:11" x14ac:dyDescent="0.3">
      <c r="A22" s="10" t="s">
        <v>6</v>
      </c>
      <c r="B22" s="17" t="s">
        <v>13</v>
      </c>
      <c r="C22" s="17"/>
      <c r="D22" s="10" t="s">
        <v>112</v>
      </c>
      <c r="E22" s="10"/>
      <c r="F22" s="10"/>
      <c r="G22" s="10"/>
      <c r="H22" s="10"/>
      <c r="I22" s="19">
        <v>1.4663333333333299</v>
      </c>
      <c r="J22" s="10"/>
      <c r="K22" s="20">
        <f>I22</f>
        <v>1.4663333333333299</v>
      </c>
    </row>
    <row r="23" spans="1:11" x14ac:dyDescent="0.3">
      <c r="A23" s="10" t="s">
        <v>6</v>
      </c>
      <c r="B23" s="16" t="s">
        <v>13</v>
      </c>
      <c r="C23" s="10"/>
      <c r="D23" s="10" t="s">
        <v>113</v>
      </c>
      <c r="E23" s="10"/>
      <c r="F23" s="10" t="s">
        <v>114</v>
      </c>
      <c r="G23" s="10"/>
      <c r="H23" s="10"/>
      <c r="I23" s="18"/>
      <c r="J23" s="10"/>
      <c r="K23" s="18">
        <v>0</v>
      </c>
    </row>
    <row r="24" spans="1:11" x14ac:dyDescent="0.3">
      <c r="A24" s="10" t="s">
        <v>6</v>
      </c>
      <c r="B24" s="17" t="s">
        <v>14</v>
      </c>
      <c r="C24" s="17"/>
      <c r="D24" s="10" t="s">
        <v>112</v>
      </c>
      <c r="E24" s="10"/>
      <c r="F24" s="10"/>
      <c r="G24" s="10"/>
      <c r="H24" s="10"/>
      <c r="I24" s="19">
        <v>1.4663333333333299</v>
      </c>
      <c r="J24" s="10"/>
      <c r="K24" s="20">
        <f>I24</f>
        <v>1.4663333333333299</v>
      </c>
    </row>
    <row r="25" spans="1:11" x14ac:dyDescent="0.3">
      <c r="A25" s="10" t="s">
        <v>6</v>
      </c>
      <c r="B25" s="16" t="s">
        <v>14</v>
      </c>
      <c r="C25" s="10"/>
      <c r="D25" s="10" t="s">
        <v>113</v>
      </c>
      <c r="E25" s="10"/>
      <c r="F25" s="10" t="s">
        <v>114</v>
      </c>
      <c r="G25" s="10"/>
      <c r="H25" s="10"/>
      <c r="I25" s="18"/>
      <c r="J25" s="10"/>
      <c r="K25" s="18">
        <v>0</v>
      </c>
    </row>
    <row r="26" spans="1:11" x14ac:dyDescent="0.3">
      <c r="A26" s="10" t="s">
        <v>6</v>
      </c>
      <c r="B26" s="17" t="s">
        <v>15</v>
      </c>
      <c r="C26" s="17"/>
      <c r="D26" s="10" t="s">
        <v>112</v>
      </c>
      <c r="E26" s="10"/>
      <c r="F26" s="10"/>
      <c r="G26" s="10"/>
      <c r="H26" s="10"/>
      <c r="I26" s="19">
        <v>1.4663333333333299</v>
      </c>
      <c r="J26" s="10"/>
      <c r="K26" s="20">
        <f>I26</f>
        <v>1.4663333333333299</v>
      </c>
    </row>
    <row r="27" spans="1:11" x14ac:dyDescent="0.3">
      <c r="A27" s="10" t="s">
        <v>6</v>
      </c>
      <c r="B27" s="16" t="s">
        <v>15</v>
      </c>
      <c r="C27" s="10"/>
      <c r="D27" s="10" t="s">
        <v>113</v>
      </c>
      <c r="E27" s="10"/>
      <c r="F27" s="10" t="s">
        <v>114</v>
      </c>
      <c r="G27" s="10"/>
      <c r="H27" s="10"/>
      <c r="I27" s="18"/>
      <c r="J27" s="10"/>
      <c r="K27" s="18">
        <v>0</v>
      </c>
    </row>
    <row r="28" spans="1:11" x14ac:dyDescent="0.3">
      <c r="A28" s="10" t="s">
        <v>6</v>
      </c>
      <c r="B28" s="17" t="s">
        <v>9</v>
      </c>
      <c r="C28" s="17"/>
      <c r="D28" s="10" t="s">
        <v>112</v>
      </c>
      <c r="E28" s="10"/>
      <c r="F28" s="10"/>
      <c r="G28" s="10"/>
      <c r="H28" s="10"/>
      <c r="I28" s="19">
        <v>1.54046666666667</v>
      </c>
      <c r="J28" s="10"/>
      <c r="K28" s="20">
        <f>I28</f>
        <v>1.54046666666667</v>
      </c>
    </row>
    <row r="29" spans="1:11" x14ac:dyDescent="0.3">
      <c r="A29" s="10" t="s">
        <v>6</v>
      </c>
      <c r="B29" s="16" t="s">
        <v>9</v>
      </c>
      <c r="C29" s="10"/>
      <c r="D29" s="10" t="s">
        <v>113</v>
      </c>
      <c r="E29" s="10"/>
      <c r="F29" s="10" t="s">
        <v>114</v>
      </c>
      <c r="G29" s="10"/>
      <c r="H29" s="10"/>
      <c r="I29" s="18"/>
      <c r="J29" s="10"/>
      <c r="K29" s="18">
        <v>0.65</v>
      </c>
    </row>
    <row r="30" spans="1:11" x14ac:dyDescent="0.3">
      <c r="A30" s="10" t="s">
        <v>6</v>
      </c>
      <c r="B30" s="17" t="s">
        <v>21</v>
      </c>
      <c r="C30" s="17"/>
      <c r="D30" s="10" t="s">
        <v>112</v>
      </c>
      <c r="E30" s="10"/>
      <c r="F30" s="10"/>
      <c r="G30" s="10"/>
      <c r="H30" s="10"/>
      <c r="I30" s="19">
        <v>1.4718</v>
      </c>
      <c r="J30" s="10"/>
      <c r="K30" s="20">
        <f>I30</f>
        <v>1.4718</v>
      </c>
    </row>
    <row r="31" spans="1:11" x14ac:dyDescent="0.3">
      <c r="A31" s="10" t="s">
        <v>6</v>
      </c>
      <c r="B31" s="16" t="s">
        <v>21</v>
      </c>
      <c r="C31" s="10"/>
      <c r="D31" s="10" t="s">
        <v>113</v>
      </c>
      <c r="E31" s="10"/>
      <c r="F31" s="10" t="s">
        <v>114</v>
      </c>
      <c r="G31" s="10"/>
      <c r="H31" s="10"/>
      <c r="I31" s="18"/>
      <c r="J31" s="10"/>
      <c r="K31" s="18">
        <v>0</v>
      </c>
    </row>
    <row r="32" spans="1:11" x14ac:dyDescent="0.3">
      <c r="A32" s="10" t="s">
        <v>6</v>
      </c>
      <c r="B32" s="17" t="s">
        <v>10</v>
      </c>
      <c r="C32" s="17"/>
      <c r="D32" s="10" t="s">
        <v>112</v>
      </c>
      <c r="E32" s="10"/>
      <c r="F32" s="10"/>
      <c r="G32" s="10"/>
      <c r="H32" s="10"/>
      <c r="I32" s="19">
        <v>1.5782777777777801</v>
      </c>
      <c r="J32" s="10"/>
      <c r="K32" s="20">
        <f>I32</f>
        <v>1.5782777777777801</v>
      </c>
    </row>
    <row r="33" spans="1:11" x14ac:dyDescent="0.3">
      <c r="A33" s="10" t="s">
        <v>6</v>
      </c>
      <c r="B33" s="16" t="s">
        <v>10</v>
      </c>
      <c r="C33" s="10"/>
      <c r="D33" s="10" t="s">
        <v>113</v>
      </c>
      <c r="E33" s="10"/>
      <c r="F33" s="10" t="s">
        <v>114</v>
      </c>
      <c r="G33" s="10"/>
      <c r="H33" s="10"/>
      <c r="I33" s="18"/>
      <c r="J33" s="10"/>
      <c r="K33" s="18">
        <v>1.075</v>
      </c>
    </row>
    <row r="34" spans="1:11" x14ac:dyDescent="0.3">
      <c r="A34" s="10" t="s">
        <v>6</v>
      </c>
      <c r="B34" s="17" t="s">
        <v>23</v>
      </c>
      <c r="C34" s="17"/>
      <c r="D34" s="10" t="s">
        <v>112</v>
      </c>
      <c r="E34" s="10"/>
      <c r="F34" s="10"/>
      <c r="G34" s="10"/>
      <c r="H34" s="10"/>
      <c r="I34" s="19">
        <v>1.496</v>
      </c>
      <c r="J34" s="10"/>
      <c r="K34" s="20">
        <f>I34</f>
        <v>1.496</v>
      </c>
    </row>
    <row r="35" spans="1:11" x14ac:dyDescent="0.3">
      <c r="A35" s="10" t="s">
        <v>6</v>
      </c>
      <c r="B35" s="16" t="s">
        <v>23</v>
      </c>
      <c r="C35" s="10"/>
      <c r="D35" s="10" t="s">
        <v>113</v>
      </c>
      <c r="E35" s="10"/>
      <c r="F35" s="10" t="s">
        <v>114</v>
      </c>
      <c r="G35" s="10"/>
      <c r="H35" s="10"/>
      <c r="I35" s="18"/>
      <c r="J35" s="10"/>
      <c r="K35" s="18">
        <v>0</v>
      </c>
    </row>
    <row r="36" spans="1:11" x14ac:dyDescent="0.3">
      <c r="A36" s="10" t="s">
        <v>6</v>
      </c>
      <c r="B36" s="17" t="s">
        <v>19</v>
      </c>
      <c r="C36" s="17"/>
      <c r="D36" s="10" t="s">
        <v>112</v>
      </c>
      <c r="E36" s="10"/>
      <c r="F36" s="10"/>
      <c r="G36" s="10"/>
      <c r="H36" s="10"/>
      <c r="I36" s="19">
        <v>1.59161111111111</v>
      </c>
      <c r="J36" s="10"/>
      <c r="K36" s="20">
        <f>I36</f>
        <v>1.59161111111111</v>
      </c>
    </row>
    <row r="37" spans="1:11" x14ac:dyDescent="0.3">
      <c r="A37" s="10" t="s">
        <v>6</v>
      </c>
      <c r="B37" s="16" t="s">
        <v>19</v>
      </c>
      <c r="C37" s="10"/>
      <c r="D37" s="10" t="s">
        <v>113</v>
      </c>
      <c r="E37" s="10"/>
      <c r="F37" s="10" t="s">
        <v>114</v>
      </c>
      <c r="G37" s="10"/>
      <c r="H37" s="10"/>
      <c r="I37" s="18"/>
      <c r="J37" s="10"/>
      <c r="K37" s="18">
        <v>0</v>
      </c>
    </row>
  </sheetData>
  <sortState xmlns:xlrd2="http://schemas.microsoft.com/office/spreadsheetml/2017/richdata2" ref="A2:K37">
    <sortCondition ref="B2:B37"/>
  </sortState>
  <phoneticPr fontId="13" type="noConversion"/>
  <dataValidations count="2">
    <dataValidation allowBlank="1" showInputMessage="1" showErrorMessage="1" sqref="D1" xr:uid="{00000000-0002-0000-0600-000000000000}"/>
    <dataValidation type="list" allowBlank="1" showInputMessage="1" showErrorMessage="1" sqref="D2:D36 D37:D1048576" xr:uid="{00000000-0002-0000-0600-000001000000}">
      <formula1>"劳动日常考核基础分,活动与卫生加减分,志愿服务,实习实训"</formula1>
    </dataValidation>
  </dataValidation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48"/>
  <sheetViews>
    <sheetView zoomScale="98" zoomScaleNormal="98" workbookViewId="0">
      <selection activeCell="E12" sqref="E12"/>
    </sheetView>
  </sheetViews>
  <sheetFormatPr defaultColWidth="9.19921875" defaultRowHeight="13.5" x14ac:dyDescent="0.3"/>
  <cols>
    <col min="1" max="1" width="39.46484375" style="2" bestFit="1" customWidth="1"/>
    <col min="2" max="2" width="14.1328125" style="3" customWidth="1"/>
    <col min="3" max="3" width="9.53125" style="2" bestFit="1" customWidth="1"/>
    <col min="4" max="4" width="25.6640625" style="2" bestFit="1" customWidth="1"/>
    <col min="5" max="5" width="113.796875" style="4" customWidth="1"/>
    <col min="6" max="6" width="9.53125" style="2" bestFit="1" customWidth="1"/>
    <col min="7" max="7" width="7.33203125" style="2" customWidth="1"/>
    <col min="8" max="9" width="8.1328125" style="2" customWidth="1"/>
    <col min="10" max="10" width="6" style="5" customWidth="1"/>
    <col min="11" max="11" width="15.1328125" style="2" customWidth="1"/>
    <col min="12" max="12" width="6" style="5" customWidth="1"/>
    <col min="13" max="16384" width="9.19921875" style="4"/>
  </cols>
  <sheetData>
    <row r="1" spans="1:12" ht="13.5" customHeight="1" x14ac:dyDescent="0.3">
      <c r="A1" s="6" t="s">
        <v>0</v>
      </c>
      <c r="B1" s="7" t="s">
        <v>1</v>
      </c>
      <c r="C1" s="6" t="s">
        <v>2</v>
      </c>
      <c r="D1" s="6" t="s">
        <v>77</v>
      </c>
      <c r="E1" s="10" t="s">
        <v>78</v>
      </c>
      <c r="F1" s="6" t="s">
        <v>79</v>
      </c>
      <c r="G1" s="6" t="s">
        <v>80</v>
      </c>
      <c r="H1" s="6" t="s">
        <v>96</v>
      </c>
      <c r="I1" s="6" t="s">
        <v>97</v>
      </c>
      <c r="J1" s="12" t="s">
        <v>81</v>
      </c>
      <c r="K1" s="6" t="s">
        <v>98</v>
      </c>
      <c r="L1" s="12" t="s">
        <v>59</v>
      </c>
    </row>
    <row r="2" spans="1:12" s="1" customFormat="1" ht="13.5" customHeight="1" x14ac:dyDescent="0.3">
      <c r="A2" s="8" t="s">
        <v>6</v>
      </c>
      <c r="B2" s="55" t="s">
        <v>115</v>
      </c>
      <c r="C2" s="8"/>
      <c r="D2" s="8" t="s">
        <v>116</v>
      </c>
      <c r="E2" s="11" t="s">
        <v>117</v>
      </c>
      <c r="F2" s="8" t="s">
        <v>86</v>
      </c>
      <c r="G2" s="8" t="s">
        <v>93</v>
      </c>
      <c r="H2" s="8"/>
      <c r="I2" s="8"/>
      <c r="J2" s="13">
        <v>0.3</v>
      </c>
      <c r="K2" s="8"/>
      <c r="L2" s="13">
        <v>0.3</v>
      </c>
    </row>
    <row r="3" spans="1:12" ht="13.5" customHeight="1" x14ac:dyDescent="0.3">
      <c r="A3" s="8" t="s">
        <v>6</v>
      </c>
      <c r="B3" s="55" t="s">
        <v>115</v>
      </c>
      <c r="C3" s="8"/>
      <c r="D3" s="8" t="s">
        <v>116</v>
      </c>
      <c r="E3" s="11" t="s">
        <v>117</v>
      </c>
      <c r="F3" s="8" t="s">
        <v>86</v>
      </c>
      <c r="G3" s="8" t="s">
        <v>94</v>
      </c>
      <c r="H3" s="8"/>
      <c r="I3" s="8"/>
      <c r="J3" s="13">
        <v>0.3</v>
      </c>
      <c r="K3" s="8"/>
      <c r="L3" s="13">
        <v>0.3</v>
      </c>
    </row>
    <row r="4" spans="1:12" ht="13.5" customHeight="1" x14ac:dyDescent="0.3">
      <c r="A4" s="8" t="s">
        <v>6</v>
      </c>
      <c r="B4" s="55" t="s">
        <v>118</v>
      </c>
      <c r="C4" s="8"/>
      <c r="D4" s="8" t="s">
        <v>116</v>
      </c>
      <c r="E4" s="11" t="s">
        <v>119</v>
      </c>
      <c r="F4" s="8" t="s">
        <v>86</v>
      </c>
      <c r="G4" s="8" t="s">
        <v>93</v>
      </c>
      <c r="H4" s="8"/>
      <c r="I4" s="8"/>
      <c r="J4" s="13">
        <v>0.15</v>
      </c>
      <c r="K4" s="8"/>
      <c r="L4" s="13">
        <v>0.15</v>
      </c>
    </row>
    <row r="5" spans="1:12" ht="13.5" customHeight="1" x14ac:dyDescent="0.3">
      <c r="A5" s="8" t="s">
        <v>6</v>
      </c>
      <c r="B5" s="9" t="s">
        <v>8</v>
      </c>
      <c r="C5" s="8"/>
      <c r="D5" s="8" t="s">
        <v>45</v>
      </c>
      <c r="E5" s="11" t="s">
        <v>120</v>
      </c>
      <c r="F5" s="8" t="s">
        <v>88</v>
      </c>
      <c r="G5" s="8"/>
      <c r="H5" s="8" t="s">
        <v>110</v>
      </c>
      <c r="I5" s="8"/>
      <c r="J5" s="13">
        <v>1.5</v>
      </c>
      <c r="K5" s="8">
        <v>0.8</v>
      </c>
      <c r="L5" s="13">
        <v>1.2</v>
      </c>
    </row>
    <row r="6" spans="1:12" ht="13.5" customHeight="1" x14ac:dyDescent="0.3">
      <c r="A6" s="8" t="s">
        <v>6</v>
      </c>
      <c r="B6" s="9" t="s">
        <v>8</v>
      </c>
      <c r="C6" s="8"/>
      <c r="D6" s="8" t="s">
        <v>45</v>
      </c>
      <c r="E6" s="11" t="s">
        <v>120</v>
      </c>
      <c r="F6" s="8" t="s">
        <v>88</v>
      </c>
      <c r="G6" s="8"/>
      <c r="H6" s="8" t="s">
        <v>109</v>
      </c>
      <c r="I6" s="8"/>
      <c r="J6" s="13">
        <v>1</v>
      </c>
      <c r="K6" s="8">
        <v>0.6</v>
      </c>
      <c r="L6" s="13">
        <v>0.6</v>
      </c>
    </row>
    <row r="7" spans="1:12" ht="13.5" customHeight="1" x14ac:dyDescent="0.3">
      <c r="A7" s="8" t="s">
        <v>6</v>
      </c>
      <c r="B7" s="9" t="s">
        <v>8</v>
      </c>
      <c r="C7" s="8"/>
      <c r="D7" s="8" t="s">
        <v>45</v>
      </c>
      <c r="E7" s="11" t="s">
        <v>121</v>
      </c>
      <c r="F7" s="8" t="s">
        <v>88</v>
      </c>
      <c r="G7" s="8"/>
      <c r="H7" s="8" t="s">
        <v>122</v>
      </c>
      <c r="I7" s="8"/>
      <c r="J7" s="13">
        <v>2</v>
      </c>
      <c r="K7" s="8">
        <v>0.9</v>
      </c>
      <c r="L7" s="13">
        <v>1.8</v>
      </c>
    </row>
    <row r="8" spans="1:12" ht="13.5" customHeight="1" x14ac:dyDescent="0.3">
      <c r="A8" s="8" t="s">
        <v>6</v>
      </c>
      <c r="B8" s="55" t="s">
        <v>123</v>
      </c>
      <c r="C8" s="8"/>
      <c r="D8" s="8" t="s">
        <v>45</v>
      </c>
      <c r="E8" s="11" t="s">
        <v>124</v>
      </c>
      <c r="F8" s="8"/>
      <c r="G8" s="8"/>
      <c r="H8" s="8"/>
      <c r="I8" s="8"/>
      <c r="J8" s="13">
        <v>3.5</v>
      </c>
      <c r="K8" s="8"/>
      <c r="L8" s="13">
        <v>3.5</v>
      </c>
    </row>
    <row r="9" spans="1:12" ht="13.5" customHeight="1" x14ac:dyDescent="0.3">
      <c r="A9" s="8" t="s">
        <v>6</v>
      </c>
      <c r="B9" s="55" t="s">
        <v>123</v>
      </c>
      <c r="C9" s="8"/>
      <c r="D9" s="8" t="s">
        <v>45</v>
      </c>
      <c r="E9" s="11" t="s">
        <v>125</v>
      </c>
      <c r="F9" s="8"/>
      <c r="G9" s="8"/>
      <c r="H9" s="8"/>
      <c r="I9" s="8"/>
      <c r="J9" s="13">
        <v>3.5</v>
      </c>
      <c r="K9" s="8"/>
      <c r="L9" s="13">
        <v>3.5</v>
      </c>
    </row>
    <row r="10" spans="1:12" ht="13.5" customHeight="1" x14ac:dyDescent="0.3">
      <c r="A10" s="8" t="s">
        <v>6</v>
      </c>
      <c r="B10" s="55" t="s">
        <v>123</v>
      </c>
      <c r="C10" s="8"/>
      <c r="D10" s="8" t="s">
        <v>116</v>
      </c>
      <c r="E10" s="11" t="s">
        <v>126</v>
      </c>
      <c r="F10" s="8" t="s">
        <v>86</v>
      </c>
      <c r="G10" s="8" t="s">
        <v>93</v>
      </c>
      <c r="H10" s="8"/>
      <c r="I10" s="8"/>
      <c r="J10" s="13">
        <v>0.5</v>
      </c>
      <c r="K10" s="8"/>
      <c r="L10" s="13">
        <v>0.5</v>
      </c>
    </row>
    <row r="11" spans="1:12" ht="13.5" customHeight="1" x14ac:dyDescent="0.3">
      <c r="A11" s="8" t="s">
        <v>6</v>
      </c>
      <c r="B11" s="55" t="s">
        <v>123</v>
      </c>
      <c r="C11" s="8"/>
      <c r="D11" s="8" t="s">
        <v>116</v>
      </c>
      <c r="E11" s="11" t="s">
        <v>126</v>
      </c>
      <c r="F11" s="8" t="s">
        <v>86</v>
      </c>
      <c r="G11" s="8" t="s">
        <v>94</v>
      </c>
      <c r="H11" s="8"/>
      <c r="I11" s="8"/>
      <c r="J11" s="13">
        <v>0.5</v>
      </c>
      <c r="K11" s="8"/>
      <c r="L11" s="13">
        <v>0.5</v>
      </c>
    </row>
    <row r="12" spans="1:12" ht="13.5" customHeight="1" x14ac:dyDescent="0.3">
      <c r="A12" s="8" t="s">
        <v>6</v>
      </c>
      <c r="B12" s="55" t="s">
        <v>127</v>
      </c>
      <c r="C12" s="8"/>
      <c r="D12" s="8" t="s">
        <v>116</v>
      </c>
      <c r="E12" s="11" t="s">
        <v>128</v>
      </c>
      <c r="F12" s="8" t="s">
        <v>86</v>
      </c>
      <c r="G12" s="8" t="s">
        <v>93</v>
      </c>
      <c r="H12" s="8"/>
      <c r="I12" s="8"/>
      <c r="J12" s="13">
        <v>0.3</v>
      </c>
      <c r="K12" s="8"/>
      <c r="L12" s="13">
        <v>0.3</v>
      </c>
    </row>
    <row r="13" spans="1:12" ht="13.5" customHeight="1" x14ac:dyDescent="0.3">
      <c r="A13" s="8" t="s">
        <v>6</v>
      </c>
      <c r="B13" s="55" t="s">
        <v>127</v>
      </c>
      <c r="C13" s="8"/>
      <c r="D13" s="8" t="s">
        <v>116</v>
      </c>
      <c r="E13" s="11" t="s">
        <v>128</v>
      </c>
      <c r="F13" s="8" t="s">
        <v>86</v>
      </c>
      <c r="G13" s="8" t="s">
        <v>94</v>
      </c>
      <c r="H13" s="8"/>
      <c r="I13" s="8"/>
      <c r="J13" s="13">
        <v>0.3</v>
      </c>
      <c r="K13" s="8"/>
      <c r="L13" s="13">
        <v>0.3</v>
      </c>
    </row>
    <row r="14" spans="1:12" ht="13.5" customHeight="1" x14ac:dyDescent="0.3">
      <c r="A14" s="8" t="s">
        <v>6</v>
      </c>
      <c r="B14" s="9" t="s">
        <v>12</v>
      </c>
      <c r="C14" s="8"/>
      <c r="D14" s="8" t="s">
        <v>45</v>
      </c>
      <c r="E14" s="11" t="s">
        <v>129</v>
      </c>
      <c r="F14" s="8" t="s">
        <v>130</v>
      </c>
      <c r="G14" s="8"/>
      <c r="H14" s="8" t="s">
        <v>109</v>
      </c>
      <c r="I14" s="8"/>
      <c r="J14" s="13">
        <v>3.5</v>
      </c>
      <c r="K14" s="8">
        <v>0.8</v>
      </c>
      <c r="L14" s="13">
        <v>2.8</v>
      </c>
    </row>
    <row r="15" spans="1:12" ht="13.5" customHeight="1" x14ac:dyDescent="0.3">
      <c r="A15" s="8" t="s">
        <v>6</v>
      </c>
      <c r="B15" s="9" t="s">
        <v>12</v>
      </c>
      <c r="C15" s="8"/>
      <c r="D15" s="8" t="s">
        <v>45</v>
      </c>
      <c r="E15" s="11" t="s">
        <v>120</v>
      </c>
      <c r="F15" s="8" t="s">
        <v>88</v>
      </c>
      <c r="G15" s="8"/>
      <c r="H15" s="8" t="s">
        <v>110</v>
      </c>
      <c r="I15" s="8"/>
      <c r="J15" s="13">
        <v>1.5</v>
      </c>
      <c r="K15" s="8">
        <v>0.5</v>
      </c>
      <c r="L15" s="13">
        <v>0.75</v>
      </c>
    </row>
    <row r="16" spans="1:12" ht="13.5" customHeight="1" x14ac:dyDescent="0.3">
      <c r="A16" s="8" t="s">
        <v>6</v>
      </c>
      <c r="B16" s="9" t="s">
        <v>12</v>
      </c>
      <c r="C16" s="8"/>
      <c r="D16" s="8" t="s">
        <v>45</v>
      </c>
      <c r="E16" s="11" t="s">
        <v>131</v>
      </c>
      <c r="F16" s="8"/>
      <c r="G16" s="8"/>
      <c r="H16" s="8" t="s">
        <v>109</v>
      </c>
      <c r="I16" s="8"/>
      <c r="J16" s="13">
        <v>2</v>
      </c>
      <c r="K16" s="8"/>
      <c r="L16" s="13">
        <v>2</v>
      </c>
    </row>
    <row r="17" spans="1:12" ht="13.5" customHeight="1" x14ac:dyDescent="0.3">
      <c r="A17" s="8" t="s">
        <v>6</v>
      </c>
      <c r="B17" s="9" t="s">
        <v>12</v>
      </c>
      <c r="C17" s="8"/>
      <c r="D17" s="8" t="s">
        <v>45</v>
      </c>
      <c r="E17" s="11" t="s">
        <v>132</v>
      </c>
      <c r="F17" s="8" t="s">
        <v>130</v>
      </c>
      <c r="G17" s="8"/>
      <c r="H17" s="8" t="s">
        <v>110</v>
      </c>
      <c r="I17" s="8"/>
      <c r="J17" s="13">
        <v>4</v>
      </c>
      <c r="K17" s="8">
        <v>0.8</v>
      </c>
      <c r="L17" s="13">
        <v>3.2</v>
      </c>
    </row>
    <row r="18" spans="1:12" ht="13.5" customHeight="1" x14ac:dyDescent="0.3">
      <c r="A18" s="8" t="s">
        <v>6</v>
      </c>
      <c r="B18" s="9" t="s">
        <v>12</v>
      </c>
      <c r="C18" s="8"/>
      <c r="D18" s="8" t="s">
        <v>45</v>
      </c>
      <c r="E18" s="11" t="s">
        <v>133</v>
      </c>
      <c r="F18" s="8" t="s">
        <v>130</v>
      </c>
      <c r="G18" s="8"/>
      <c r="H18" s="8"/>
      <c r="I18" s="8"/>
      <c r="J18" s="13">
        <v>1.5</v>
      </c>
      <c r="K18" s="8"/>
      <c r="L18" s="13">
        <v>1.5</v>
      </c>
    </row>
    <row r="19" spans="1:12" ht="13.5" customHeight="1" x14ac:dyDescent="0.3">
      <c r="A19" s="8" t="s">
        <v>6</v>
      </c>
      <c r="B19" s="9" t="s">
        <v>12</v>
      </c>
      <c r="C19" s="8"/>
      <c r="D19" s="8" t="s">
        <v>46</v>
      </c>
      <c r="E19" s="56" t="s">
        <v>166</v>
      </c>
      <c r="F19" s="8"/>
      <c r="G19" s="8"/>
      <c r="H19" s="8"/>
      <c r="I19" s="8"/>
      <c r="J19" s="13">
        <v>0.82</v>
      </c>
      <c r="K19" s="8"/>
      <c r="L19" s="13">
        <v>0.81799999999999995</v>
      </c>
    </row>
    <row r="20" spans="1:12" ht="13.5" customHeight="1" x14ac:dyDescent="0.3">
      <c r="A20" s="8" t="s">
        <v>6</v>
      </c>
      <c r="B20" s="55" t="s">
        <v>134</v>
      </c>
      <c r="C20" s="8"/>
      <c r="D20" s="8" t="s">
        <v>116</v>
      </c>
      <c r="E20" s="11" t="s">
        <v>135</v>
      </c>
      <c r="F20" s="8" t="s">
        <v>86</v>
      </c>
      <c r="G20" s="8" t="s">
        <v>93</v>
      </c>
      <c r="H20" s="8"/>
      <c r="I20" s="8"/>
      <c r="J20" s="13">
        <v>0.3</v>
      </c>
      <c r="K20" s="8"/>
      <c r="L20" s="13">
        <v>0.3</v>
      </c>
    </row>
    <row r="21" spans="1:12" ht="13.5" customHeight="1" x14ac:dyDescent="0.3">
      <c r="A21" s="8" t="s">
        <v>6</v>
      </c>
      <c r="B21" s="55" t="s">
        <v>134</v>
      </c>
      <c r="C21" s="8"/>
      <c r="D21" s="8" t="s">
        <v>116</v>
      </c>
      <c r="E21" s="11" t="s">
        <v>135</v>
      </c>
      <c r="F21" s="8" t="s">
        <v>86</v>
      </c>
      <c r="G21" s="8" t="s">
        <v>94</v>
      </c>
      <c r="H21" s="8"/>
      <c r="I21" s="8"/>
      <c r="J21" s="13">
        <v>0.3</v>
      </c>
      <c r="K21" s="8"/>
      <c r="L21" s="13">
        <v>0.3</v>
      </c>
    </row>
    <row r="22" spans="1:12" ht="13.5" customHeight="1" x14ac:dyDescent="0.3">
      <c r="A22" s="8" t="s">
        <v>6</v>
      </c>
      <c r="B22" s="9" t="s">
        <v>11</v>
      </c>
      <c r="C22" s="8"/>
      <c r="D22" s="8" t="s">
        <v>45</v>
      </c>
      <c r="E22" s="11" t="s">
        <v>136</v>
      </c>
      <c r="F22" s="8" t="s">
        <v>130</v>
      </c>
      <c r="G22" s="8"/>
      <c r="H22" s="8" t="s">
        <v>137</v>
      </c>
      <c r="I22" s="8"/>
      <c r="J22" s="13">
        <v>5</v>
      </c>
      <c r="K22" s="8">
        <v>0.6</v>
      </c>
      <c r="L22" s="13">
        <f>K22*J22</f>
        <v>3</v>
      </c>
    </row>
    <row r="23" spans="1:12" ht="13.5" customHeight="1" x14ac:dyDescent="0.3">
      <c r="A23" s="8" t="s">
        <v>6</v>
      </c>
      <c r="B23" s="9" t="s">
        <v>11</v>
      </c>
      <c r="C23" s="8"/>
      <c r="D23" s="8" t="s">
        <v>45</v>
      </c>
      <c r="E23" s="11" t="s">
        <v>138</v>
      </c>
      <c r="F23" s="8" t="s">
        <v>139</v>
      </c>
      <c r="G23" s="8"/>
      <c r="H23" s="8"/>
      <c r="I23" s="8"/>
      <c r="J23" s="13">
        <v>2</v>
      </c>
      <c r="K23" s="8">
        <v>0.6</v>
      </c>
      <c r="L23" s="13">
        <v>1.2</v>
      </c>
    </row>
    <row r="24" spans="1:12" ht="13.5" customHeight="1" x14ac:dyDescent="0.3">
      <c r="A24" s="8" t="s">
        <v>6</v>
      </c>
      <c r="B24" s="9" t="s">
        <v>11</v>
      </c>
      <c r="C24" s="8"/>
      <c r="D24" s="8" t="s">
        <v>116</v>
      </c>
      <c r="E24" s="11" t="s">
        <v>140</v>
      </c>
      <c r="F24" s="8" t="s">
        <v>141</v>
      </c>
      <c r="G24" s="8" t="s">
        <v>93</v>
      </c>
      <c r="H24" s="8"/>
      <c r="I24" s="8"/>
      <c r="J24" s="13">
        <v>0.95</v>
      </c>
      <c r="K24" s="8"/>
      <c r="L24" s="13">
        <v>0.95</v>
      </c>
    </row>
    <row r="25" spans="1:12" ht="13.5" customHeight="1" x14ac:dyDescent="0.3">
      <c r="A25" s="8" t="s">
        <v>6</v>
      </c>
      <c r="B25" s="9" t="s">
        <v>11</v>
      </c>
      <c r="C25" s="8"/>
      <c r="D25" s="8" t="s">
        <v>116</v>
      </c>
      <c r="E25" s="11" t="s">
        <v>140</v>
      </c>
      <c r="F25" s="8" t="s">
        <v>142</v>
      </c>
      <c r="G25" s="8" t="s">
        <v>94</v>
      </c>
      <c r="H25" s="8"/>
      <c r="I25" s="8"/>
      <c r="J25" s="13">
        <v>1.05</v>
      </c>
      <c r="K25" s="8"/>
      <c r="L25" s="13">
        <v>1.05</v>
      </c>
    </row>
    <row r="26" spans="1:12" ht="13.5" customHeight="1" x14ac:dyDescent="0.3">
      <c r="A26" s="8" t="s">
        <v>6</v>
      </c>
      <c r="B26" s="9" t="s">
        <v>11</v>
      </c>
      <c r="C26" s="8"/>
      <c r="D26" s="8" t="s">
        <v>46</v>
      </c>
      <c r="E26" s="56" t="s">
        <v>163</v>
      </c>
      <c r="F26" s="8"/>
      <c r="G26" s="8"/>
      <c r="H26" s="8"/>
      <c r="I26" s="8"/>
      <c r="J26" s="13">
        <v>0.75</v>
      </c>
      <c r="K26" s="8"/>
      <c r="L26" s="13">
        <v>0.75</v>
      </c>
    </row>
    <row r="27" spans="1:12" ht="13.5" customHeight="1" x14ac:dyDescent="0.3">
      <c r="A27" s="8" t="s">
        <v>6</v>
      </c>
      <c r="B27" s="9" t="s">
        <v>11</v>
      </c>
      <c r="C27" s="8"/>
      <c r="D27" s="8" t="s">
        <v>46</v>
      </c>
      <c r="E27" s="56" t="s">
        <v>163</v>
      </c>
      <c r="F27" s="8"/>
      <c r="G27" s="8"/>
      <c r="H27" s="8"/>
      <c r="I27" s="8"/>
      <c r="J27" s="13">
        <v>0.75</v>
      </c>
      <c r="K27" s="8"/>
      <c r="L27" s="13">
        <v>0.75</v>
      </c>
    </row>
    <row r="28" spans="1:12" ht="13.5" customHeight="1" x14ac:dyDescent="0.3">
      <c r="A28" s="8" t="s">
        <v>6</v>
      </c>
      <c r="B28" s="9" t="s">
        <v>11</v>
      </c>
      <c r="C28" s="8"/>
      <c r="D28" s="8" t="s">
        <v>46</v>
      </c>
      <c r="E28" s="56" t="s">
        <v>164</v>
      </c>
      <c r="F28" s="8"/>
      <c r="G28" s="8"/>
      <c r="H28" s="8"/>
      <c r="I28" s="8"/>
      <c r="J28" s="13">
        <v>1</v>
      </c>
      <c r="K28" s="8"/>
      <c r="L28" s="13">
        <v>1</v>
      </c>
    </row>
    <row r="29" spans="1:12" ht="13.5" customHeight="1" x14ac:dyDescent="0.3">
      <c r="A29" s="8" t="s">
        <v>6</v>
      </c>
      <c r="B29" s="9" t="s">
        <v>20</v>
      </c>
      <c r="C29" s="8"/>
      <c r="D29" s="8" t="s">
        <v>45</v>
      </c>
      <c r="E29" s="11" t="s">
        <v>143</v>
      </c>
      <c r="F29" s="8" t="s">
        <v>85</v>
      </c>
      <c r="G29" s="8"/>
      <c r="H29" s="8" t="s">
        <v>110</v>
      </c>
      <c r="I29" s="8"/>
      <c r="J29" s="13">
        <v>0.5</v>
      </c>
      <c r="K29" s="8"/>
      <c r="L29" s="13">
        <v>0.5</v>
      </c>
    </row>
    <row r="30" spans="1:12" ht="13.5" customHeight="1" x14ac:dyDescent="0.3">
      <c r="A30" s="8" t="s">
        <v>6</v>
      </c>
      <c r="B30" s="9" t="s">
        <v>7</v>
      </c>
      <c r="C30" s="8"/>
      <c r="D30" s="8" t="s">
        <v>45</v>
      </c>
      <c r="E30" s="11" t="s">
        <v>144</v>
      </c>
      <c r="F30" s="8" t="s">
        <v>130</v>
      </c>
      <c r="G30" s="8"/>
      <c r="H30" s="8" t="s">
        <v>145</v>
      </c>
      <c r="I30" s="8"/>
      <c r="J30" s="13">
        <v>4</v>
      </c>
      <c r="K30" s="8"/>
      <c r="L30" s="13">
        <v>4</v>
      </c>
    </row>
    <row r="31" spans="1:12" ht="13.5" customHeight="1" x14ac:dyDescent="0.3">
      <c r="A31" s="8" t="s">
        <v>6</v>
      </c>
      <c r="B31" s="9" t="s">
        <v>7</v>
      </c>
      <c r="C31" s="8"/>
      <c r="D31" s="8" t="s">
        <v>45</v>
      </c>
      <c r="E31" s="11" t="s">
        <v>146</v>
      </c>
      <c r="F31" s="8" t="s">
        <v>130</v>
      </c>
      <c r="G31" s="8"/>
      <c r="H31" s="8" t="s">
        <v>145</v>
      </c>
      <c r="I31" s="8"/>
      <c r="J31" s="13">
        <v>4</v>
      </c>
      <c r="K31" s="8"/>
      <c r="L31" s="13">
        <v>4</v>
      </c>
    </row>
    <row r="32" spans="1:12" ht="13.5" customHeight="1" x14ac:dyDescent="0.3">
      <c r="A32" s="8" t="s">
        <v>6</v>
      </c>
      <c r="B32" s="9" t="s">
        <v>7</v>
      </c>
      <c r="C32" s="8"/>
      <c r="D32" s="8" t="s">
        <v>45</v>
      </c>
      <c r="E32" s="11" t="s">
        <v>147</v>
      </c>
      <c r="F32" s="8" t="s">
        <v>130</v>
      </c>
      <c r="G32" s="8"/>
      <c r="H32" s="8" t="s">
        <v>148</v>
      </c>
      <c r="I32" s="8"/>
      <c r="J32" s="13">
        <v>3.5</v>
      </c>
      <c r="K32" s="8"/>
      <c r="L32" s="13">
        <v>3.5</v>
      </c>
    </row>
    <row r="33" spans="1:12" ht="13.5" customHeight="1" x14ac:dyDescent="0.3">
      <c r="A33" s="8" t="s">
        <v>6</v>
      </c>
      <c r="B33" s="9" t="s">
        <v>7</v>
      </c>
      <c r="C33" s="8"/>
      <c r="D33" s="8" t="s">
        <v>45</v>
      </c>
      <c r="E33" s="11" t="s">
        <v>149</v>
      </c>
      <c r="F33" s="8" t="s">
        <v>130</v>
      </c>
      <c r="G33" s="8"/>
      <c r="H33" s="8" t="s">
        <v>145</v>
      </c>
      <c r="I33" s="8"/>
      <c r="J33" s="13">
        <v>4</v>
      </c>
      <c r="K33" s="8"/>
      <c r="L33" s="13">
        <v>4</v>
      </c>
    </row>
    <row r="34" spans="1:12" ht="13.5" customHeight="1" x14ac:dyDescent="0.3">
      <c r="A34" s="8" t="s">
        <v>6</v>
      </c>
      <c r="B34" s="9" t="s">
        <v>9</v>
      </c>
      <c r="C34" s="8"/>
      <c r="D34" s="8" t="s">
        <v>45</v>
      </c>
      <c r="E34" s="11" t="s">
        <v>150</v>
      </c>
      <c r="F34" s="8"/>
      <c r="G34" s="8"/>
      <c r="H34" s="8"/>
      <c r="I34" s="8"/>
      <c r="J34" s="13">
        <v>2</v>
      </c>
      <c r="K34" s="8"/>
      <c r="L34" s="13">
        <v>2</v>
      </c>
    </row>
    <row r="35" spans="1:12" ht="13.5" customHeight="1" x14ac:dyDescent="0.3">
      <c r="A35" s="8" t="s">
        <v>6</v>
      </c>
      <c r="B35" s="9" t="s">
        <v>9</v>
      </c>
      <c r="C35" s="8"/>
      <c r="D35" s="8" t="s">
        <v>45</v>
      </c>
      <c r="E35" s="11" t="s">
        <v>151</v>
      </c>
      <c r="F35" s="8" t="s">
        <v>88</v>
      </c>
      <c r="G35" s="8"/>
      <c r="H35" s="8" t="s">
        <v>109</v>
      </c>
      <c r="I35" s="8"/>
      <c r="J35" s="13">
        <v>1</v>
      </c>
      <c r="K35" s="8">
        <v>0.8</v>
      </c>
      <c r="L35" s="13">
        <v>0.8</v>
      </c>
    </row>
    <row r="36" spans="1:12" ht="13.5" customHeight="1" x14ac:dyDescent="0.3">
      <c r="A36" s="8" t="s">
        <v>6</v>
      </c>
      <c r="B36" s="9" t="s">
        <v>9</v>
      </c>
      <c r="C36" s="8"/>
      <c r="D36" s="8" t="s">
        <v>45</v>
      </c>
      <c r="E36" s="11" t="s">
        <v>152</v>
      </c>
      <c r="F36" s="8" t="s">
        <v>139</v>
      </c>
      <c r="G36" s="8"/>
      <c r="H36" s="8" t="s">
        <v>110</v>
      </c>
      <c r="I36" s="8"/>
      <c r="J36" s="13">
        <v>2.5</v>
      </c>
      <c r="K36" s="8">
        <v>1</v>
      </c>
      <c r="L36" s="13">
        <v>2.5</v>
      </c>
    </row>
    <row r="37" spans="1:12" ht="13.5" customHeight="1" x14ac:dyDescent="0.3">
      <c r="A37" s="8" t="s">
        <v>6</v>
      </c>
      <c r="B37" s="9" t="s">
        <v>9</v>
      </c>
      <c r="C37" s="8"/>
      <c r="D37" s="8" t="s">
        <v>45</v>
      </c>
      <c r="E37" s="11" t="s">
        <v>153</v>
      </c>
      <c r="F37" s="8"/>
      <c r="G37" s="8"/>
      <c r="H37" s="8"/>
      <c r="I37" s="8"/>
      <c r="J37" s="13"/>
      <c r="K37" s="8"/>
      <c r="L37" s="13">
        <v>0.3</v>
      </c>
    </row>
    <row r="38" spans="1:12" ht="13.5" customHeight="1" x14ac:dyDescent="0.3">
      <c r="A38" s="8" t="s">
        <v>6</v>
      </c>
      <c r="B38" s="9" t="s">
        <v>9</v>
      </c>
      <c r="C38" s="8"/>
      <c r="D38" s="8" t="s">
        <v>45</v>
      </c>
      <c r="E38" s="11" t="s">
        <v>154</v>
      </c>
      <c r="F38" s="8"/>
      <c r="G38" s="8"/>
      <c r="H38" s="8"/>
      <c r="I38" s="8"/>
      <c r="J38" s="13"/>
      <c r="K38" s="8"/>
      <c r="L38" s="13">
        <v>0.3</v>
      </c>
    </row>
    <row r="39" spans="1:12" ht="13.5" customHeight="1" x14ac:dyDescent="0.3">
      <c r="A39" s="8" t="s">
        <v>6</v>
      </c>
      <c r="B39" s="7" t="s">
        <v>9</v>
      </c>
      <c r="C39" s="6"/>
      <c r="D39" s="6" t="s">
        <v>116</v>
      </c>
      <c r="E39" s="10" t="s">
        <v>155</v>
      </c>
      <c r="F39" s="6" t="s">
        <v>86</v>
      </c>
      <c r="G39" s="6" t="s">
        <v>93</v>
      </c>
      <c r="H39" s="6"/>
      <c r="I39" s="6"/>
      <c r="J39" s="12">
        <v>0.5</v>
      </c>
      <c r="K39" s="6"/>
      <c r="L39" s="12">
        <v>0.5</v>
      </c>
    </row>
    <row r="40" spans="1:12" ht="13.5" customHeight="1" x14ac:dyDescent="0.3">
      <c r="A40" s="8" t="s">
        <v>6</v>
      </c>
      <c r="B40" s="7" t="s">
        <v>9</v>
      </c>
      <c r="C40" s="6"/>
      <c r="D40" s="6" t="s">
        <v>116</v>
      </c>
      <c r="E40" s="10" t="s">
        <v>155</v>
      </c>
      <c r="F40" s="6" t="s">
        <v>86</v>
      </c>
      <c r="G40" s="6" t="s">
        <v>94</v>
      </c>
      <c r="H40" s="6"/>
      <c r="I40" s="6"/>
      <c r="J40" s="12">
        <v>0.5</v>
      </c>
      <c r="K40" s="6"/>
      <c r="L40" s="12">
        <v>0.5</v>
      </c>
    </row>
    <row r="41" spans="1:12" ht="13.5" customHeight="1" x14ac:dyDescent="0.3">
      <c r="A41" s="8" t="s">
        <v>6</v>
      </c>
      <c r="B41" s="9" t="s">
        <v>9</v>
      </c>
      <c r="C41" s="8"/>
      <c r="D41" s="8" t="s">
        <v>46</v>
      </c>
      <c r="E41" s="56" t="s">
        <v>165</v>
      </c>
      <c r="F41" s="8"/>
      <c r="G41" s="8"/>
      <c r="H41" s="8"/>
      <c r="I41" s="8"/>
      <c r="J41" s="13"/>
      <c r="K41" s="8"/>
      <c r="L41" s="13">
        <v>0.75</v>
      </c>
    </row>
    <row r="42" spans="1:12" ht="13.5" customHeight="1" x14ac:dyDescent="0.3">
      <c r="A42" s="8" t="s">
        <v>6</v>
      </c>
      <c r="B42" s="55" t="s">
        <v>156</v>
      </c>
      <c r="C42" s="8"/>
      <c r="D42" s="8" t="s">
        <v>116</v>
      </c>
      <c r="E42" s="11" t="s">
        <v>157</v>
      </c>
      <c r="F42" s="8" t="s">
        <v>86</v>
      </c>
      <c r="G42" s="8" t="s">
        <v>93</v>
      </c>
      <c r="H42" s="8"/>
      <c r="I42" s="8"/>
      <c r="J42" s="13">
        <v>0.3</v>
      </c>
      <c r="K42" s="8"/>
      <c r="L42" s="13">
        <v>0.3</v>
      </c>
    </row>
    <row r="43" spans="1:12" ht="13.5" customHeight="1" x14ac:dyDescent="0.3">
      <c r="A43" s="8" t="s">
        <v>6</v>
      </c>
      <c r="B43" s="55" t="s">
        <v>156</v>
      </c>
      <c r="C43" s="8"/>
      <c r="D43" s="8" t="s">
        <v>116</v>
      </c>
      <c r="E43" s="11" t="s">
        <v>157</v>
      </c>
      <c r="F43" s="8" t="s">
        <v>86</v>
      </c>
      <c r="G43" s="8" t="s">
        <v>94</v>
      </c>
      <c r="H43" s="8"/>
      <c r="I43" s="8"/>
      <c r="J43" s="13">
        <v>0.3</v>
      </c>
      <c r="K43" s="8"/>
      <c r="L43" s="13">
        <v>0.3</v>
      </c>
    </row>
    <row r="44" spans="1:12" ht="13.5" customHeight="1" x14ac:dyDescent="0.3">
      <c r="A44" s="8" t="s">
        <v>6</v>
      </c>
      <c r="B44" s="9" t="s">
        <v>10</v>
      </c>
      <c r="C44" s="8"/>
      <c r="D44" s="8" t="s">
        <v>45</v>
      </c>
      <c r="E44" s="11" t="s">
        <v>158</v>
      </c>
      <c r="F44" s="57" t="s">
        <v>168</v>
      </c>
      <c r="G44" s="8"/>
      <c r="H44" s="8" t="s">
        <v>110</v>
      </c>
      <c r="I44" s="8"/>
      <c r="J44" s="13">
        <v>1.5</v>
      </c>
      <c r="K44" s="8"/>
      <c r="L44" s="13">
        <v>1.5</v>
      </c>
    </row>
    <row r="45" spans="1:12" ht="13.5" customHeight="1" x14ac:dyDescent="0.3">
      <c r="A45" s="8" t="s">
        <v>6</v>
      </c>
      <c r="B45" s="55" t="s">
        <v>159</v>
      </c>
      <c r="C45" s="8"/>
      <c r="D45" s="8" t="s">
        <v>116</v>
      </c>
      <c r="E45" s="11" t="s">
        <v>119</v>
      </c>
      <c r="F45" s="8" t="s">
        <v>86</v>
      </c>
      <c r="G45" s="8" t="s">
        <v>94</v>
      </c>
      <c r="H45" s="8"/>
      <c r="I45" s="8"/>
      <c r="J45" s="13">
        <v>0.15</v>
      </c>
      <c r="K45" s="8"/>
      <c r="L45" s="13">
        <v>0.15</v>
      </c>
    </row>
    <row r="46" spans="1:12" ht="13.5" customHeight="1" x14ac:dyDescent="0.3">
      <c r="A46" s="8" t="s">
        <v>6</v>
      </c>
      <c r="B46" s="9" t="s">
        <v>160</v>
      </c>
      <c r="C46" s="8"/>
      <c r="D46" s="8" t="s">
        <v>45</v>
      </c>
      <c r="E46" s="11" t="s">
        <v>158</v>
      </c>
      <c r="F46" s="57" t="s">
        <v>168</v>
      </c>
      <c r="G46" s="8"/>
      <c r="H46" s="8" t="s">
        <v>161</v>
      </c>
      <c r="I46" s="8"/>
      <c r="J46" s="13">
        <v>1</v>
      </c>
      <c r="K46" s="8"/>
      <c r="L46" s="13">
        <v>1</v>
      </c>
    </row>
    <row r="47" spans="1:12" x14ac:dyDescent="0.3">
      <c r="A47" s="8" t="s">
        <v>6</v>
      </c>
      <c r="B47" s="9" t="s">
        <v>23</v>
      </c>
      <c r="C47" s="8"/>
      <c r="D47" s="8" t="s">
        <v>45</v>
      </c>
      <c r="E47" s="11" t="s">
        <v>162</v>
      </c>
      <c r="F47" s="8" t="s">
        <v>88</v>
      </c>
      <c r="G47" s="8"/>
      <c r="H47" s="8" t="s">
        <v>161</v>
      </c>
      <c r="I47" s="8"/>
      <c r="J47" s="13">
        <v>1</v>
      </c>
      <c r="K47" s="8">
        <v>0.5</v>
      </c>
      <c r="L47" s="13">
        <v>0.5</v>
      </c>
    </row>
    <row r="48" spans="1:12" x14ac:dyDescent="0.3">
      <c r="A48" s="8" t="s">
        <v>6</v>
      </c>
      <c r="B48" s="9" t="s">
        <v>23</v>
      </c>
      <c r="C48" s="8"/>
      <c r="D48" s="8" t="s">
        <v>46</v>
      </c>
      <c r="E48" s="56" t="s">
        <v>167</v>
      </c>
      <c r="F48" s="8"/>
      <c r="G48" s="8"/>
      <c r="H48" s="8"/>
      <c r="I48" s="8"/>
      <c r="J48" s="13">
        <v>0.68</v>
      </c>
      <c r="K48" s="8"/>
      <c r="L48" s="13">
        <v>0.68</v>
      </c>
    </row>
  </sheetData>
  <autoFilter ref="A1:L48" xr:uid="{00000000-0001-0000-0700-000000000000}"/>
  <sortState xmlns:xlrd2="http://schemas.microsoft.com/office/spreadsheetml/2017/richdata2" ref="A2:L48">
    <sortCondition ref="B2:B48"/>
    <sortCondition ref="D2:D48"/>
  </sortState>
  <phoneticPr fontId="11" type="noConversion"/>
  <dataValidations count="2">
    <dataValidation allowBlank="1" showInputMessage="1" showErrorMessage="1" sqref="D1:E1 E22:E23 E2:E20 E47:E1048576" xr:uid="{00000000-0002-0000-0700-000000000000}"/>
    <dataValidation type="list" allowBlank="1" showInputMessage="1" showErrorMessage="1" sqref="D2:D1048576" xr:uid="{00000000-0002-0000-0700-000001000000}">
      <formula1>"创新创业素质,水平考试,社会实践,社会工作能力（工作表现）"</formula1>
    </dataValidation>
  </dataValidations>
  <pageMargins left="0.75" right="0.75" top="1" bottom="1" header="0.5" footer="0.5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ixelators xmlns:s="http://schemas.openxmlformats.org/spreadsheetml/2006/main" xmlns="https://web.wps.cn/et/2018/main">
  <pixelatorList sheetStid="1"/>
  <pixelatorList sheetStid="2"/>
</pixelators>
</file>

<file path=customXml/item2.xml><?xml version="1.0" encoding="utf-8"?>
<woProps xmlns:s="http://schemas.openxmlformats.org/spreadsheetml/2006/main" xmlns="https://web.wps.cn/et/2018/main">
  <woSheetsProps>
    <woSheetProps interlineOnOff="0" isDashBoardSheet="0" sheetStid="1" interlineColor="0" isDbSheet="0">
      <cellprotection/>
    </woSheetProps>
  </woSheetsProps>
  <woBookProps>
    <bookSettings isAutoUpdatePaused="0" isMergeTasksAutoUpdate="0" isFilterShared="1" isInserPicAsAttachment="0" filterType="conn" coreConquerUserId=""/>
  </woBookProps>
</woProps>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总分表</vt:lpstr>
      <vt:lpstr>计分表</vt:lpstr>
      <vt:lpstr>德育素质</vt:lpstr>
      <vt:lpstr>智育素质</vt:lpstr>
      <vt:lpstr>体育素质</vt:lpstr>
      <vt:lpstr>美育素质</vt:lpstr>
      <vt:lpstr>劳育素质</vt:lpstr>
      <vt:lpstr>创新与实践素质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64859</dc:creator>
  <cp:lastModifiedBy>若兮 胡</cp:lastModifiedBy>
  <dcterms:created xsi:type="dcterms:W3CDTF">2020-08-08T05:48:00Z</dcterms:created>
  <dcterms:modified xsi:type="dcterms:W3CDTF">2025-09-30T04:41:19Z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2052-12.1.22522.22522</vt:lpwstr>
  </property>
  <property fmtid="{D5CDD505-2E9C-101B-9397-08002B2CF9AE}" pid="3" name="ICV">
    <vt:lpwstr>BCAD3800DB5FBFA32745B468610487A9_43</vt:lpwstr>
  </property>
</Properties>
</file>