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mc:AlternateContent xmlns:mc="http://schemas.openxmlformats.org/markup-compatibility/2006">
    <mc:Choice Requires="x15">
      <x15ac:absPath xmlns:x15ac="http://schemas.microsoft.com/office/spreadsheetml/2010/11/ac" url="D:\醯兮\组织部\2024-2025综测\22级综合测评分\"/>
    </mc:Choice>
  </mc:AlternateContent>
  <xr:revisionPtr revIDLastSave="0" documentId="13_ncr:1_{42FFF0AD-2006-4DA9-9C70-9BA93FC496FC}" xr6:coauthVersionLast="47" xr6:coauthVersionMax="47" xr10:uidLastSave="{00000000-0000-0000-0000-000000000000}"/>
  <bookViews>
    <workbookView xWindow="-98" yWindow="-98" windowWidth="23236" windowHeight="13875" xr2:uid="{00000000-000D-0000-FFFF-FFFF00000000}"/>
  </bookViews>
  <sheets>
    <sheet name="总分表" sheetId="4" r:id="rId1"/>
    <sheet name="计分表" sheetId="3" r:id="rId2"/>
    <sheet name="德育素质" sheetId="2" r:id="rId3"/>
    <sheet name="智育素质" sheetId="5" r:id="rId4"/>
    <sheet name="体育素质" sheetId="7" r:id="rId5"/>
    <sheet name="美育素质" sheetId="8" r:id="rId6"/>
    <sheet name="劳育素质" sheetId="10" r:id="rId7"/>
    <sheet name="创新与实践素质" sheetId="9" r:id="rId8"/>
  </sheets>
  <definedNames>
    <definedName name="_xlnm._FilterDatabase" localSheetId="7" hidden="1">创新与实践素质!$A$1:$L$42</definedName>
    <definedName name="_xlnm._FilterDatabase" localSheetId="2" hidden="1">德育素质!$A$1:$I$22</definedName>
    <definedName name="_xlnm._FilterDatabase" localSheetId="1" hidden="1">计分表!$A$3:$AF$38</definedName>
    <definedName name="_xlnm._FilterDatabase" localSheetId="6" hidden="1">劳育素质!$A$1:$L$1</definedName>
    <definedName name="_xlnm._FilterDatabase" localSheetId="4" hidden="1">体育素质!$A$1:$M$155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6" i="3" l="1"/>
  <c r="U7" i="3"/>
  <c r="U8" i="3"/>
  <c r="U9" i="3"/>
  <c r="U10" i="3"/>
  <c r="U11" i="3"/>
  <c r="U12" i="3"/>
  <c r="U13" i="3"/>
  <c r="U14" i="3"/>
  <c r="U15" i="3"/>
  <c r="U16" i="3"/>
  <c r="U17" i="3"/>
  <c r="U18" i="3"/>
  <c r="U19" i="3"/>
  <c r="U20" i="3"/>
  <c r="U21" i="3"/>
  <c r="U22" i="3"/>
  <c r="U23" i="3"/>
  <c r="U24" i="3"/>
  <c r="U25" i="3"/>
  <c r="U26" i="3"/>
  <c r="U27" i="3"/>
  <c r="U28" i="3"/>
  <c r="U29" i="3"/>
  <c r="U30" i="3"/>
  <c r="U31" i="3"/>
  <c r="U32" i="3"/>
  <c r="U33" i="3"/>
  <c r="U34" i="3"/>
  <c r="U35" i="3"/>
  <c r="U36" i="3"/>
  <c r="U37" i="3"/>
  <c r="U38" i="3"/>
  <c r="U5" i="3"/>
  <c r="U4" i="3"/>
  <c r="F14" i="4" l="1"/>
  <c r="F36" i="4"/>
  <c r="F13" i="4"/>
  <c r="F33" i="4"/>
  <c r="F10" i="4"/>
  <c r="F30" i="4"/>
  <c r="F8" i="4"/>
  <c r="F29" i="4"/>
  <c r="F7" i="4"/>
  <c r="F28" i="4"/>
  <c r="F6" i="4"/>
  <c r="F27" i="4"/>
  <c r="F5" i="4"/>
  <c r="F2" i="4"/>
  <c r="F34" i="4"/>
  <c r="F11" i="4"/>
  <c r="F31" i="4"/>
  <c r="F3" i="4"/>
  <c r="F17" i="4"/>
  <c r="F35" i="4"/>
  <c r="F12" i="4"/>
  <c r="F32" i="4"/>
  <c r="F9" i="4"/>
  <c r="F26" i="4"/>
  <c r="F4" i="4"/>
  <c r="F25" i="4"/>
  <c r="F24" i="4"/>
  <c r="F23" i="4"/>
  <c r="F22" i="4"/>
  <c r="F21" i="4"/>
  <c r="F20" i="4"/>
  <c r="F19" i="4"/>
  <c r="F18" i="4"/>
  <c r="F16" i="4"/>
  <c r="F15" i="4"/>
  <c r="L81" i="7"/>
  <c r="L82" i="7"/>
  <c r="L83" i="7"/>
  <c r="L84" i="7"/>
  <c r="L85" i="7"/>
  <c r="L86" i="7"/>
  <c r="L87" i="7"/>
  <c r="L88" i="7"/>
  <c r="L89" i="7"/>
  <c r="L90" i="7"/>
  <c r="L91" i="7"/>
  <c r="L92" i="7"/>
  <c r="L93" i="7"/>
  <c r="L94" i="7"/>
  <c r="L95" i="7"/>
  <c r="L96" i="7"/>
  <c r="L97" i="7"/>
  <c r="L98" i="7"/>
  <c r="L99" i="7"/>
  <c r="L100" i="7"/>
  <c r="L101" i="7"/>
  <c r="L102" i="7"/>
  <c r="L103" i="7"/>
  <c r="L104" i="7"/>
  <c r="L105" i="7"/>
  <c r="L106" i="7"/>
  <c r="L107" i="7"/>
  <c r="L108" i="7"/>
  <c r="L109" i="7"/>
  <c r="L110" i="7"/>
  <c r="L111" i="7"/>
  <c r="L112" i="7"/>
  <c r="L113" i="7"/>
  <c r="L114" i="7"/>
  <c r="L115" i="7"/>
  <c r="L116" i="7"/>
  <c r="L117" i="7"/>
  <c r="L118" i="7"/>
  <c r="L119" i="7"/>
  <c r="L120" i="7"/>
  <c r="L121" i="7"/>
  <c r="L122" i="7"/>
  <c r="L123" i="7"/>
  <c r="L124" i="7"/>
  <c r="L125" i="7"/>
  <c r="L126" i="7"/>
  <c r="L127" i="7"/>
  <c r="L128" i="7"/>
  <c r="L129" i="7"/>
  <c r="L130" i="7"/>
  <c r="L131" i="7"/>
  <c r="L132" i="7"/>
  <c r="L133" i="7"/>
  <c r="L134" i="7"/>
  <c r="L135" i="7"/>
  <c r="L136" i="7"/>
  <c r="L137" i="7"/>
  <c r="L138" i="7"/>
  <c r="L139" i="7"/>
  <c r="L140" i="7"/>
  <c r="L141" i="7"/>
  <c r="L142" i="7"/>
  <c r="L143" i="7"/>
  <c r="L144" i="7"/>
  <c r="L145" i="7"/>
  <c r="L146" i="7"/>
  <c r="L147" i="7"/>
  <c r="L148" i="7"/>
  <c r="L149" i="7"/>
  <c r="L150" i="7"/>
  <c r="L151" i="7"/>
  <c r="L152" i="7"/>
  <c r="L153" i="7"/>
  <c r="L154" i="7"/>
  <c r="L155" i="7"/>
  <c r="L80" i="7"/>
  <c r="E9" i="3" l="1"/>
  <c r="E8" i="3"/>
  <c r="AD6" i="3"/>
  <c r="L31" i="9"/>
  <c r="L42" i="9" l="1"/>
  <c r="L3" i="8" l="1"/>
  <c r="AD5" i="3" l="1"/>
  <c r="AD7" i="3"/>
  <c r="AD8" i="3"/>
  <c r="AD9" i="3"/>
  <c r="AD10" i="3"/>
  <c r="AD11" i="3"/>
  <c r="AD12" i="3"/>
  <c r="AD13" i="3"/>
  <c r="AD14" i="3"/>
  <c r="AD15" i="3"/>
  <c r="AD16" i="3"/>
  <c r="AD17" i="3"/>
  <c r="AD18" i="3"/>
  <c r="AD19" i="3"/>
  <c r="AD20" i="3"/>
  <c r="AD21" i="3"/>
  <c r="AD22" i="3"/>
  <c r="AD23" i="3"/>
  <c r="AD24" i="3"/>
  <c r="AD25" i="3"/>
  <c r="AD26" i="3"/>
  <c r="AD27" i="3"/>
  <c r="AD28" i="3"/>
  <c r="AD29" i="3"/>
  <c r="AD30" i="3"/>
  <c r="AD31" i="3"/>
  <c r="AD32" i="3"/>
  <c r="AD33" i="3"/>
  <c r="AD34" i="3"/>
  <c r="AD35" i="3"/>
  <c r="AD36" i="3"/>
  <c r="AD37" i="3"/>
  <c r="AD38" i="3"/>
  <c r="AD4" i="3"/>
  <c r="AC5" i="3"/>
  <c r="AC6" i="3"/>
  <c r="AC7" i="3"/>
  <c r="AC8" i="3"/>
  <c r="AC9" i="3"/>
  <c r="AC10" i="3"/>
  <c r="AC11" i="3"/>
  <c r="AC12" i="3"/>
  <c r="AC13" i="3"/>
  <c r="AC14" i="3"/>
  <c r="AC15" i="3"/>
  <c r="AC16" i="3"/>
  <c r="AC17" i="3"/>
  <c r="AC18" i="3"/>
  <c r="AC19" i="3"/>
  <c r="AC20" i="3"/>
  <c r="AC21" i="3"/>
  <c r="AC22" i="3"/>
  <c r="AC23" i="3"/>
  <c r="AC24" i="3"/>
  <c r="AC25" i="3"/>
  <c r="AC26" i="3"/>
  <c r="AC27" i="3"/>
  <c r="AC28" i="3"/>
  <c r="AC29" i="3"/>
  <c r="AC30" i="3"/>
  <c r="AC31" i="3"/>
  <c r="AC32" i="3"/>
  <c r="AC33" i="3"/>
  <c r="AC34" i="3"/>
  <c r="AC35" i="3"/>
  <c r="AC36" i="3"/>
  <c r="AC37" i="3"/>
  <c r="AC38" i="3"/>
  <c r="AC4" i="3"/>
  <c r="AB5" i="3"/>
  <c r="AB6" i="3"/>
  <c r="AB7" i="3"/>
  <c r="AB8" i="3"/>
  <c r="AB9" i="3"/>
  <c r="AB10" i="3"/>
  <c r="AB11" i="3"/>
  <c r="AB12" i="3"/>
  <c r="AB13" i="3"/>
  <c r="AB14" i="3"/>
  <c r="AB15" i="3"/>
  <c r="AB16" i="3"/>
  <c r="AB17" i="3"/>
  <c r="AB18" i="3"/>
  <c r="AB19" i="3"/>
  <c r="AB20" i="3"/>
  <c r="AB21" i="3"/>
  <c r="AB22" i="3"/>
  <c r="AB23" i="3"/>
  <c r="AB24" i="3"/>
  <c r="AB25" i="3"/>
  <c r="AB26" i="3"/>
  <c r="AB27" i="3"/>
  <c r="AB28" i="3"/>
  <c r="AB29" i="3"/>
  <c r="AB30" i="3"/>
  <c r="AB31" i="3"/>
  <c r="AB32" i="3"/>
  <c r="AB33" i="3"/>
  <c r="AB34" i="3"/>
  <c r="AB35" i="3"/>
  <c r="AB36" i="3"/>
  <c r="AB37" i="3"/>
  <c r="AB38" i="3"/>
  <c r="AB4" i="3"/>
  <c r="AA5" i="3"/>
  <c r="AA6" i="3"/>
  <c r="AA7" i="3"/>
  <c r="AA8" i="3"/>
  <c r="AA9" i="3"/>
  <c r="AA10" i="3"/>
  <c r="AA11" i="3"/>
  <c r="AA12" i="3"/>
  <c r="AA13" i="3"/>
  <c r="AA14" i="3"/>
  <c r="AA15" i="3"/>
  <c r="AA16" i="3"/>
  <c r="AA17" i="3"/>
  <c r="AA18" i="3"/>
  <c r="AA19" i="3"/>
  <c r="AA20" i="3"/>
  <c r="AA21" i="3"/>
  <c r="AA22" i="3"/>
  <c r="AA23" i="3"/>
  <c r="AA24" i="3"/>
  <c r="AA25" i="3"/>
  <c r="AA26" i="3"/>
  <c r="AA27" i="3"/>
  <c r="AA28" i="3"/>
  <c r="AA29" i="3"/>
  <c r="AA30" i="3"/>
  <c r="AA31" i="3"/>
  <c r="AA32" i="3"/>
  <c r="AA33" i="3"/>
  <c r="AA34" i="3"/>
  <c r="AA35" i="3"/>
  <c r="AA36" i="3"/>
  <c r="AA37" i="3"/>
  <c r="AA38" i="3"/>
  <c r="AA4" i="3"/>
  <c r="Y5" i="3"/>
  <c r="Y6" i="3"/>
  <c r="Y7" i="3"/>
  <c r="Y8" i="3"/>
  <c r="Y9" i="3"/>
  <c r="Y10" i="3"/>
  <c r="Y11" i="3"/>
  <c r="Y12" i="3"/>
  <c r="Y13" i="3"/>
  <c r="Y14" i="3"/>
  <c r="Y15" i="3"/>
  <c r="Y16" i="3"/>
  <c r="Y17" i="3"/>
  <c r="Y18" i="3"/>
  <c r="Y19" i="3"/>
  <c r="Y20" i="3"/>
  <c r="Y21" i="3"/>
  <c r="Y22" i="3"/>
  <c r="Y23" i="3"/>
  <c r="Y24" i="3"/>
  <c r="Y25" i="3"/>
  <c r="Y26" i="3"/>
  <c r="Y27" i="3"/>
  <c r="Y28" i="3"/>
  <c r="Y29" i="3"/>
  <c r="Y30" i="3"/>
  <c r="Y31" i="3"/>
  <c r="Y32" i="3"/>
  <c r="Y33" i="3"/>
  <c r="Y34" i="3"/>
  <c r="Y35" i="3"/>
  <c r="Y36" i="3"/>
  <c r="Y37" i="3"/>
  <c r="Y38" i="3"/>
  <c r="Y4" i="3"/>
  <c r="W5" i="3"/>
  <c r="W6" i="3"/>
  <c r="W7" i="3"/>
  <c r="W8" i="3"/>
  <c r="W9" i="3"/>
  <c r="W10" i="3"/>
  <c r="W11" i="3"/>
  <c r="W12" i="3"/>
  <c r="W13" i="3"/>
  <c r="W14" i="3"/>
  <c r="W15" i="3"/>
  <c r="W16" i="3"/>
  <c r="W17" i="3"/>
  <c r="W18" i="3"/>
  <c r="W19" i="3"/>
  <c r="W20" i="3"/>
  <c r="W21" i="3"/>
  <c r="W22" i="3"/>
  <c r="W23" i="3"/>
  <c r="W24" i="3"/>
  <c r="W25" i="3"/>
  <c r="W26" i="3"/>
  <c r="W27" i="3"/>
  <c r="W28" i="3"/>
  <c r="W29" i="3"/>
  <c r="W30" i="3"/>
  <c r="W31" i="3"/>
  <c r="W32" i="3"/>
  <c r="W33" i="3"/>
  <c r="W34" i="3"/>
  <c r="W35" i="3"/>
  <c r="W36" i="3"/>
  <c r="W37" i="3"/>
  <c r="W38" i="3"/>
  <c r="W4" i="3"/>
  <c r="V5" i="3"/>
  <c r="V6" i="3"/>
  <c r="V7" i="3"/>
  <c r="V8" i="3"/>
  <c r="V9" i="3"/>
  <c r="V10" i="3"/>
  <c r="V11" i="3"/>
  <c r="V12" i="3"/>
  <c r="V13" i="3"/>
  <c r="V14" i="3"/>
  <c r="V15" i="3"/>
  <c r="V16" i="3"/>
  <c r="V17" i="3"/>
  <c r="V18" i="3"/>
  <c r="V19" i="3"/>
  <c r="V20" i="3"/>
  <c r="V21" i="3"/>
  <c r="V22" i="3"/>
  <c r="V23" i="3"/>
  <c r="V24" i="3"/>
  <c r="V25" i="3"/>
  <c r="V26" i="3"/>
  <c r="V27" i="3"/>
  <c r="V28" i="3"/>
  <c r="V29" i="3"/>
  <c r="V30" i="3"/>
  <c r="V31" i="3"/>
  <c r="V32" i="3"/>
  <c r="V33" i="3"/>
  <c r="V34" i="3"/>
  <c r="V35" i="3"/>
  <c r="V36" i="3"/>
  <c r="V37" i="3"/>
  <c r="V38" i="3"/>
  <c r="V4" i="3"/>
  <c r="S5" i="3"/>
  <c r="S6" i="3"/>
  <c r="S7" i="3"/>
  <c r="S8" i="3"/>
  <c r="S9" i="3"/>
  <c r="S10" i="3"/>
  <c r="S11" i="3"/>
  <c r="S12" i="3"/>
  <c r="S13" i="3"/>
  <c r="S14" i="3"/>
  <c r="S15" i="3"/>
  <c r="S16" i="3"/>
  <c r="S17" i="3"/>
  <c r="S18" i="3"/>
  <c r="S19" i="3"/>
  <c r="S20" i="3"/>
  <c r="S21" i="3"/>
  <c r="S22" i="3"/>
  <c r="S23" i="3"/>
  <c r="S24" i="3"/>
  <c r="S25" i="3"/>
  <c r="S26" i="3"/>
  <c r="S27" i="3"/>
  <c r="S28" i="3"/>
  <c r="S29" i="3"/>
  <c r="S30" i="3"/>
  <c r="S31" i="3"/>
  <c r="S32" i="3"/>
  <c r="S33" i="3"/>
  <c r="S34" i="3"/>
  <c r="S35" i="3"/>
  <c r="S36" i="3"/>
  <c r="S37" i="3"/>
  <c r="S38" i="3"/>
  <c r="S4" i="3"/>
  <c r="R5" i="3"/>
  <c r="R6" i="3"/>
  <c r="R7" i="3"/>
  <c r="R8" i="3"/>
  <c r="R9" i="3"/>
  <c r="R10" i="3"/>
  <c r="R11" i="3"/>
  <c r="R12" i="3"/>
  <c r="R13" i="3"/>
  <c r="R14" i="3"/>
  <c r="R15" i="3"/>
  <c r="R16" i="3"/>
  <c r="R17" i="3"/>
  <c r="R18" i="3"/>
  <c r="R19" i="3"/>
  <c r="R20" i="3"/>
  <c r="R21" i="3"/>
  <c r="R22" i="3"/>
  <c r="R23" i="3"/>
  <c r="R24" i="3"/>
  <c r="R25" i="3"/>
  <c r="R26" i="3"/>
  <c r="R27" i="3"/>
  <c r="R28" i="3"/>
  <c r="R29" i="3"/>
  <c r="R30" i="3"/>
  <c r="R31" i="3"/>
  <c r="R32" i="3"/>
  <c r="R33" i="3"/>
  <c r="R34" i="3"/>
  <c r="R35" i="3"/>
  <c r="R36" i="3"/>
  <c r="R37" i="3"/>
  <c r="R38" i="3"/>
  <c r="R4" i="3"/>
  <c r="O5" i="3"/>
  <c r="O6" i="3"/>
  <c r="O7" i="3"/>
  <c r="O8" i="3"/>
  <c r="O9" i="3"/>
  <c r="O10" i="3"/>
  <c r="O11" i="3"/>
  <c r="O12" i="3"/>
  <c r="O13" i="3"/>
  <c r="O14" i="3"/>
  <c r="O15" i="3"/>
  <c r="O16" i="3"/>
  <c r="O17" i="3"/>
  <c r="O18" i="3"/>
  <c r="O19" i="3"/>
  <c r="O20" i="3"/>
  <c r="O21" i="3"/>
  <c r="O22" i="3"/>
  <c r="O23" i="3"/>
  <c r="O24" i="3"/>
  <c r="O25" i="3"/>
  <c r="O26" i="3"/>
  <c r="O27" i="3"/>
  <c r="O28" i="3"/>
  <c r="O29" i="3"/>
  <c r="O30" i="3"/>
  <c r="O31" i="3"/>
  <c r="O32" i="3"/>
  <c r="O33" i="3"/>
  <c r="O34" i="3"/>
  <c r="O35" i="3"/>
  <c r="O36" i="3"/>
  <c r="O37" i="3"/>
  <c r="O38" i="3"/>
  <c r="O4" i="3"/>
  <c r="N5" i="3"/>
  <c r="N6" i="3"/>
  <c r="N7" i="3"/>
  <c r="N8" i="3"/>
  <c r="N9" i="3"/>
  <c r="N10" i="3"/>
  <c r="N11" i="3"/>
  <c r="N12" i="3"/>
  <c r="N13" i="3"/>
  <c r="N14" i="3"/>
  <c r="N15" i="3"/>
  <c r="N16" i="3"/>
  <c r="N17" i="3"/>
  <c r="N18" i="3"/>
  <c r="N19" i="3"/>
  <c r="N20" i="3"/>
  <c r="N21" i="3"/>
  <c r="N22" i="3"/>
  <c r="N23" i="3"/>
  <c r="N24" i="3"/>
  <c r="N25" i="3"/>
  <c r="N26" i="3"/>
  <c r="N27" i="3"/>
  <c r="N28" i="3"/>
  <c r="N29" i="3"/>
  <c r="N30" i="3"/>
  <c r="N31" i="3"/>
  <c r="N32" i="3"/>
  <c r="N33" i="3"/>
  <c r="N34" i="3"/>
  <c r="N35" i="3"/>
  <c r="N36" i="3"/>
  <c r="N37" i="3"/>
  <c r="N38" i="3"/>
  <c r="N4" i="3"/>
  <c r="M5" i="3"/>
  <c r="M6" i="3"/>
  <c r="M7" i="3"/>
  <c r="M8" i="3"/>
  <c r="M9" i="3"/>
  <c r="M10" i="3"/>
  <c r="M11" i="3"/>
  <c r="M12" i="3"/>
  <c r="M13" i="3"/>
  <c r="M14" i="3"/>
  <c r="M15" i="3"/>
  <c r="M16" i="3"/>
  <c r="M17" i="3"/>
  <c r="M18" i="3"/>
  <c r="M19" i="3"/>
  <c r="M20" i="3"/>
  <c r="M21" i="3"/>
  <c r="M22" i="3"/>
  <c r="M23" i="3"/>
  <c r="M24" i="3"/>
  <c r="M25" i="3"/>
  <c r="M26" i="3"/>
  <c r="M27" i="3"/>
  <c r="M28" i="3"/>
  <c r="M29" i="3"/>
  <c r="M30" i="3"/>
  <c r="M31" i="3"/>
  <c r="M32" i="3"/>
  <c r="M33" i="3"/>
  <c r="M34" i="3"/>
  <c r="M35" i="3"/>
  <c r="M36" i="3"/>
  <c r="M37" i="3"/>
  <c r="M38" i="3"/>
  <c r="M4" i="3"/>
  <c r="L5" i="3"/>
  <c r="L6" i="3"/>
  <c r="L7" i="3"/>
  <c r="L8" i="3"/>
  <c r="L9" i="3"/>
  <c r="L10" i="3"/>
  <c r="L11" i="3"/>
  <c r="L12" i="3"/>
  <c r="L13" i="3"/>
  <c r="L14" i="3"/>
  <c r="L15" i="3"/>
  <c r="L16" i="3"/>
  <c r="L17" i="3"/>
  <c r="L18" i="3"/>
  <c r="L19" i="3"/>
  <c r="L20" i="3"/>
  <c r="L21" i="3"/>
  <c r="L22" i="3"/>
  <c r="L23" i="3"/>
  <c r="L24" i="3"/>
  <c r="L25" i="3"/>
  <c r="L26" i="3"/>
  <c r="L27" i="3"/>
  <c r="L28" i="3"/>
  <c r="L29" i="3"/>
  <c r="L30" i="3"/>
  <c r="L31" i="3"/>
  <c r="L32" i="3"/>
  <c r="L33" i="3"/>
  <c r="L34" i="3"/>
  <c r="L35" i="3"/>
  <c r="L36" i="3"/>
  <c r="L37" i="3"/>
  <c r="L38" i="3"/>
  <c r="L4" i="3"/>
  <c r="K5" i="3"/>
  <c r="K6" i="3"/>
  <c r="K7" i="3"/>
  <c r="K8" i="3"/>
  <c r="K9" i="3"/>
  <c r="K10" i="3"/>
  <c r="K11" i="3"/>
  <c r="K12" i="3"/>
  <c r="K13" i="3"/>
  <c r="K14" i="3"/>
  <c r="K15" i="3"/>
  <c r="K16" i="3"/>
  <c r="K17" i="3"/>
  <c r="K18" i="3"/>
  <c r="K19" i="3"/>
  <c r="K20" i="3"/>
  <c r="K21" i="3"/>
  <c r="K22" i="3"/>
  <c r="K23" i="3"/>
  <c r="K24" i="3"/>
  <c r="K25" i="3"/>
  <c r="K26" i="3"/>
  <c r="K27" i="3"/>
  <c r="K28" i="3"/>
  <c r="K29" i="3"/>
  <c r="K30" i="3"/>
  <c r="K31" i="3"/>
  <c r="K32" i="3"/>
  <c r="K33" i="3"/>
  <c r="K34" i="3"/>
  <c r="K35" i="3"/>
  <c r="K36" i="3"/>
  <c r="K37" i="3"/>
  <c r="K38" i="3"/>
  <c r="K4" i="3"/>
  <c r="H5" i="3"/>
  <c r="H6" i="3"/>
  <c r="H7" i="3"/>
  <c r="H8" i="3"/>
  <c r="H9" i="3"/>
  <c r="H10" i="3"/>
  <c r="H11" i="3"/>
  <c r="H12" i="3"/>
  <c r="H13" i="3"/>
  <c r="H14" i="3"/>
  <c r="H15" i="3"/>
  <c r="H16" i="3"/>
  <c r="H17" i="3"/>
  <c r="H18" i="3"/>
  <c r="H19" i="3"/>
  <c r="H20" i="3"/>
  <c r="H21" i="3"/>
  <c r="H22" i="3"/>
  <c r="H23" i="3"/>
  <c r="H24" i="3"/>
  <c r="H25" i="3"/>
  <c r="H26" i="3"/>
  <c r="H27" i="3"/>
  <c r="H28" i="3"/>
  <c r="H29" i="3"/>
  <c r="H30" i="3"/>
  <c r="H31" i="3"/>
  <c r="H32" i="3"/>
  <c r="H33" i="3"/>
  <c r="H34" i="3"/>
  <c r="H35" i="3"/>
  <c r="H36" i="3"/>
  <c r="H37" i="3"/>
  <c r="H38" i="3"/>
  <c r="H4" i="3"/>
  <c r="G5" i="3"/>
  <c r="G6" i="3"/>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4" i="3"/>
  <c r="E5" i="3"/>
  <c r="E6" i="3"/>
  <c r="E7" i="3"/>
  <c r="E10" i="3"/>
  <c r="E11" i="3"/>
  <c r="E12" i="3"/>
  <c r="E13" i="3"/>
  <c r="E14" i="3"/>
  <c r="E15" i="3"/>
  <c r="E16" i="3"/>
  <c r="E17" i="3"/>
  <c r="E18" i="3"/>
  <c r="E19" i="3"/>
  <c r="E20" i="3"/>
  <c r="E21" i="3"/>
  <c r="E22" i="3"/>
  <c r="E23" i="3"/>
  <c r="E24" i="3"/>
  <c r="E25" i="3"/>
  <c r="E26" i="3"/>
  <c r="E27" i="3"/>
  <c r="E28" i="3"/>
  <c r="E29" i="3"/>
  <c r="E30" i="3"/>
  <c r="E31" i="3"/>
  <c r="E32" i="3"/>
  <c r="E33" i="3"/>
  <c r="E34" i="3"/>
  <c r="E35" i="3"/>
  <c r="E36" i="3"/>
  <c r="E37" i="3"/>
  <c r="E38" i="3"/>
  <c r="E4" i="3"/>
  <c r="F5" i="3"/>
  <c r="F6" i="3"/>
  <c r="F7" i="3"/>
  <c r="F8" i="3"/>
  <c r="F9" i="3"/>
  <c r="F10" i="3"/>
  <c r="F11" i="3"/>
  <c r="F12" i="3"/>
  <c r="F13" i="3"/>
  <c r="F14" i="3"/>
  <c r="F15" i="3"/>
  <c r="F16" i="3"/>
  <c r="F17" i="3"/>
  <c r="F18" i="3"/>
  <c r="F19" i="3"/>
  <c r="F20" i="3"/>
  <c r="F21" i="3"/>
  <c r="F22" i="3"/>
  <c r="F23" i="3"/>
  <c r="F24" i="3"/>
  <c r="F25" i="3"/>
  <c r="F26" i="3"/>
  <c r="F27" i="3"/>
  <c r="F28" i="3"/>
  <c r="F29" i="3"/>
  <c r="F30" i="3"/>
  <c r="F31" i="3"/>
  <c r="F32" i="3"/>
  <c r="F33" i="3"/>
  <c r="F34" i="3"/>
  <c r="F35" i="3"/>
  <c r="F36" i="3"/>
  <c r="F37" i="3"/>
  <c r="F38" i="3"/>
  <c r="F4" i="3"/>
  <c r="D32" i="3" l="1"/>
  <c r="H23" i="2"/>
  <c r="D6" i="3" s="1"/>
  <c r="H24" i="2"/>
  <c r="D19" i="3" s="1"/>
  <c r="H25" i="2"/>
  <c r="D25" i="3" s="1"/>
  <c r="H26" i="2"/>
  <c r="D20" i="3" s="1"/>
  <c r="H27" i="2"/>
  <c r="D8" i="3" s="1"/>
  <c r="H28" i="2"/>
  <c r="D24" i="3" s="1"/>
  <c r="H29" i="2"/>
  <c r="D35" i="3" s="1"/>
  <c r="H30" i="2"/>
  <c r="D34" i="3" s="1"/>
  <c r="H31" i="2"/>
  <c r="D10" i="3" s="1"/>
  <c r="H32" i="2"/>
  <c r="D9" i="3" s="1"/>
  <c r="H33" i="2"/>
  <c r="D5" i="3" s="1"/>
  <c r="H34" i="2"/>
  <c r="D27" i="3" s="1"/>
  <c r="H35" i="2"/>
  <c r="D11" i="3" s="1"/>
  <c r="H3" i="2"/>
  <c r="D33" i="3" s="1"/>
  <c r="H4" i="2"/>
  <c r="D15" i="3" s="1"/>
  <c r="H5" i="2"/>
  <c r="D38" i="3" s="1"/>
  <c r="H6" i="2"/>
  <c r="D14" i="3" s="1"/>
  <c r="H7" i="2"/>
  <c r="D23" i="3" s="1"/>
  <c r="H8" i="2"/>
  <c r="D12" i="3" s="1"/>
  <c r="H9" i="2"/>
  <c r="D13" i="3" s="1"/>
  <c r="H10" i="2"/>
  <c r="D21" i="3" s="1"/>
  <c r="H11" i="2"/>
  <c r="D28" i="3" s="1"/>
  <c r="H12" i="2"/>
  <c r="D17" i="3" s="1"/>
  <c r="H13" i="2"/>
  <c r="D16" i="3" s="1"/>
  <c r="H14" i="2"/>
  <c r="D4" i="3" s="1"/>
  <c r="H15" i="2"/>
  <c r="D7" i="3" s="1"/>
  <c r="H16" i="2"/>
  <c r="D31" i="3" s="1"/>
  <c r="H17" i="2"/>
  <c r="D26" i="3" s="1"/>
  <c r="H18" i="2"/>
  <c r="D22" i="3" s="1"/>
  <c r="H19" i="2"/>
  <c r="D18" i="3" s="1"/>
  <c r="H20" i="2"/>
  <c r="D37" i="3" s="1"/>
  <c r="H21" i="2"/>
  <c r="D29" i="3" s="1"/>
  <c r="H22" i="2"/>
  <c r="D30" i="3" s="1"/>
  <c r="H2" i="2"/>
  <c r="D36" i="3" s="1"/>
  <c r="T38" i="3"/>
  <c r="AE35" i="3"/>
  <c r="X34" i="3"/>
  <c r="X33" i="3"/>
  <c r="AE32" i="3"/>
  <c r="X32" i="3"/>
  <c r="Z32" i="3" s="1"/>
  <c r="X31" i="3"/>
  <c r="X30" i="3"/>
  <c r="X29" i="3"/>
  <c r="AE28" i="3"/>
  <c r="X26" i="3"/>
  <c r="Z26" i="3" s="1"/>
  <c r="X25" i="3"/>
  <c r="P25" i="3"/>
  <c r="AE24" i="3"/>
  <c r="X23" i="3"/>
  <c r="P23" i="3"/>
  <c r="X22" i="3"/>
  <c r="P22" i="3"/>
  <c r="X21" i="3"/>
  <c r="AE20" i="3"/>
  <c r="P20" i="3"/>
  <c r="AE17" i="3"/>
  <c r="X17" i="3"/>
  <c r="P17" i="3"/>
  <c r="AE16" i="3"/>
  <c r="X15" i="3"/>
  <c r="Z15" i="3" s="1"/>
  <c r="AE13" i="3"/>
  <c r="X12" i="3"/>
  <c r="AE11" i="3"/>
  <c r="X10" i="3"/>
  <c r="Z10" i="3" s="1"/>
  <c r="AE9" i="3"/>
  <c r="X9" i="3"/>
  <c r="X7" i="3"/>
  <c r="Z7" i="3" s="1"/>
  <c r="P7" i="3"/>
  <c r="X4" i="3"/>
  <c r="Z4" i="3" s="1"/>
  <c r="P8" i="3" l="1"/>
  <c r="Q8" i="3" s="1"/>
  <c r="AE33" i="3"/>
  <c r="Z29" i="3"/>
  <c r="P5" i="3"/>
  <c r="Q5" i="3" s="1"/>
  <c r="P27" i="3"/>
  <c r="Q27" i="3" s="1"/>
  <c r="AE30" i="3"/>
  <c r="X14" i="3"/>
  <c r="Z14" i="3" s="1"/>
  <c r="X13" i="3"/>
  <c r="Z13" i="3" s="1"/>
  <c r="P33" i="3"/>
  <c r="Q33" i="3" s="1"/>
  <c r="X35" i="3"/>
  <c r="Z31" i="3"/>
  <c r="AE12" i="3"/>
  <c r="AE34" i="3"/>
  <c r="P16" i="3"/>
  <c r="Q16" i="3" s="1"/>
  <c r="AE19" i="3"/>
  <c r="Z22" i="3"/>
  <c r="P19" i="3"/>
  <c r="Q19" i="3" s="1"/>
  <c r="P26" i="3"/>
  <c r="Q26" i="3" s="1"/>
  <c r="X28" i="3"/>
  <c r="Z28" i="3" s="1"/>
  <c r="I23" i="3"/>
  <c r="J23" i="3" s="1"/>
  <c r="I28" i="3"/>
  <c r="J28" i="3" s="1"/>
  <c r="I25" i="3"/>
  <c r="J25" i="3" s="1"/>
  <c r="I16" i="3"/>
  <c r="J16" i="3" s="1"/>
  <c r="I38" i="3"/>
  <c r="J38" i="3" s="1"/>
  <c r="I35" i="3"/>
  <c r="J35" i="3" s="1"/>
  <c r="I5" i="3"/>
  <c r="J5" i="3" s="1"/>
  <c r="I17" i="3"/>
  <c r="J17" i="3" s="1"/>
  <c r="I24" i="3"/>
  <c r="J24" i="3" s="1"/>
  <c r="I19" i="3"/>
  <c r="J19" i="3" s="1"/>
  <c r="I34" i="3"/>
  <c r="J34" i="3" s="1"/>
  <c r="Z25" i="3"/>
  <c r="AE38" i="3"/>
  <c r="AE15" i="3"/>
  <c r="AE37" i="3"/>
  <c r="I18" i="3"/>
  <c r="J18" i="3" s="1"/>
  <c r="P21" i="3"/>
  <c r="Q21" i="3" s="1"/>
  <c r="P32" i="3"/>
  <c r="Q32" i="3" s="1"/>
  <c r="T11" i="3"/>
  <c r="AE14" i="3"/>
  <c r="AE25" i="3"/>
  <c r="T33" i="3"/>
  <c r="AE36" i="3"/>
  <c r="Q23" i="3"/>
  <c r="AE4" i="3"/>
  <c r="I30" i="3"/>
  <c r="J30" i="3" s="1"/>
  <c r="T21" i="3"/>
  <c r="P34" i="3"/>
  <c r="Q34" i="3" s="1"/>
  <c r="P12" i="3"/>
  <c r="Q12" i="3" s="1"/>
  <c r="T24" i="3"/>
  <c r="AE27" i="3"/>
  <c r="Z33" i="3"/>
  <c r="I15" i="3"/>
  <c r="J15" i="3" s="1"/>
  <c r="I13" i="3"/>
  <c r="J13" i="3" s="1"/>
  <c r="T16" i="3"/>
  <c r="I33" i="3"/>
  <c r="J33" i="3" s="1"/>
  <c r="I11" i="3"/>
  <c r="J11" i="3" s="1"/>
  <c r="AE18" i="3"/>
  <c r="T13" i="3"/>
  <c r="X36" i="3"/>
  <c r="Z36" i="3" s="1"/>
  <c r="Q20" i="3"/>
  <c r="T22" i="3"/>
  <c r="I22" i="3"/>
  <c r="J22" i="3" s="1"/>
  <c r="X5" i="3"/>
  <c r="Z5" i="3" s="1"/>
  <c r="X16" i="3"/>
  <c r="Z16" i="3" s="1"/>
  <c r="I21" i="3"/>
  <c r="J21" i="3" s="1"/>
  <c r="P24" i="3"/>
  <c r="Q24" i="3" s="1"/>
  <c r="X27" i="3"/>
  <c r="Z27" i="3" s="1"/>
  <c r="I26" i="3"/>
  <c r="J26" i="3" s="1"/>
  <c r="P29" i="3"/>
  <c r="Q29" i="3" s="1"/>
  <c r="T14" i="3"/>
  <c r="P9" i="3"/>
  <c r="Q9" i="3" s="1"/>
  <c r="Z12" i="3"/>
  <c r="Q25" i="3"/>
  <c r="T26" i="3"/>
  <c r="P6" i="3"/>
  <c r="Q6" i="3" s="1"/>
  <c r="AE29" i="3"/>
  <c r="I37" i="3"/>
  <c r="J37" i="3" s="1"/>
  <c r="I36" i="3"/>
  <c r="J36" i="3" s="1"/>
  <c r="I31" i="3"/>
  <c r="J31" i="3" s="1"/>
  <c r="T5" i="3"/>
  <c r="P11" i="3"/>
  <c r="Q11" i="3" s="1"/>
  <c r="P10" i="3"/>
  <c r="Q10" i="3" s="1"/>
  <c r="P28" i="3"/>
  <c r="Q28" i="3" s="1"/>
  <c r="T30" i="3"/>
  <c r="T28" i="3"/>
  <c r="I4" i="3"/>
  <c r="J4" i="3" s="1"/>
  <c r="X11" i="3"/>
  <c r="Z11" i="3" s="1"/>
  <c r="I20" i="3"/>
  <c r="J20" i="3" s="1"/>
  <c r="T27" i="3"/>
  <c r="T8" i="3"/>
  <c r="Q22" i="3"/>
  <c r="T7" i="3"/>
  <c r="T25" i="3"/>
  <c r="X8" i="3"/>
  <c r="Z8" i="3" s="1"/>
  <c r="T6" i="3"/>
  <c r="AE10" i="3"/>
  <c r="P4" i="3"/>
  <c r="Q4" i="3" s="1"/>
  <c r="AE8" i="3"/>
  <c r="I12" i="3"/>
  <c r="J12" i="3" s="1"/>
  <c r="I14" i="3"/>
  <c r="J14" i="3" s="1"/>
  <c r="I32" i="3"/>
  <c r="J32" i="3" s="1"/>
  <c r="P38" i="3"/>
  <c r="Q38" i="3" s="1"/>
  <c r="T4" i="3"/>
  <c r="X6" i="3"/>
  <c r="Z6" i="3" s="1"/>
  <c r="P18" i="3"/>
  <c r="Q18" i="3" s="1"/>
  <c r="Z23" i="3"/>
  <c r="X24" i="3"/>
  <c r="Z24" i="3" s="1"/>
  <c r="AE26" i="3"/>
  <c r="P36" i="3"/>
  <c r="Q36" i="3" s="1"/>
  <c r="P37" i="3"/>
  <c r="Q37" i="3" s="1"/>
  <c r="T29" i="3"/>
  <c r="Z30" i="3"/>
  <c r="Q17" i="3"/>
  <c r="T19" i="3"/>
  <c r="AE7" i="3"/>
  <c r="I9" i="3"/>
  <c r="J9" i="3" s="1"/>
  <c r="P15" i="3"/>
  <c r="Q15" i="3" s="1"/>
  <c r="T18" i="3"/>
  <c r="X19" i="3"/>
  <c r="Z19" i="3" s="1"/>
  <c r="X20" i="3"/>
  <c r="Z20" i="3" s="1"/>
  <c r="AE23" i="3"/>
  <c r="I27" i="3"/>
  <c r="J27" i="3" s="1"/>
  <c r="T36" i="3"/>
  <c r="T37" i="3"/>
  <c r="T15" i="3"/>
  <c r="I7" i="3"/>
  <c r="J7" i="3" s="1"/>
  <c r="T9" i="3"/>
  <c r="Z21" i="3"/>
  <c r="P35" i="3"/>
  <c r="Q35" i="3" s="1"/>
  <c r="AE5" i="3"/>
  <c r="I10" i="3"/>
  <c r="J10" i="3" s="1"/>
  <c r="P13" i="3"/>
  <c r="Q13" i="3" s="1"/>
  <c r="AE22" i="3"/>
  <c r="T35" i="3"/>
  <c r="X38" i="3"/>
  <c r="Z38" i="3" s="1"/>
  <c r="T12" i="3"/>
  <c r="Z17" i="3"/>
  <c r="T10" i="3"/>
  <c r="I29" i="3"/>
  <c r="J29" i="3" s="1"/>
  <c r="I8" i="3"/>
  <c r="J8" i="3" s="1"/>
  <c r="P14" i="3"/>
  <c r="Q14" i="3" s="1"/>
  <c r="T17" i="3"/>
  <c r="X18" i="3"/>
  <c r="Z18" i="3" s="1"/>
  <c r="AE21" i="3"/>
  <c r="P30" i="3"/>
  <c r="Q30" i="3" s="1"/>
  <c r="P31" i="3"/>
  <c r="Q31" i="3" s="1"/>
  <c r="T32" i="3"/>
  <c r="T34" i="3"/>
  <c r="Z35" i="3"/>
  <c r="X37" i="3"/>
  <c r="Z37" i="3" s="1"/>
  <c r="Z9" i="3"/>
  <c r="Z34" i="3"/>
  <c r="T23" i="3"/>
  <c r="Q7" i="3"/>
  <c r="T31" i="3"/>
  <c r="T20" i="3"/>
  <c r="AE6" i="3"/>
  <c r="AE31" i="3"/>
  <c r="I6" i="3"/>
  <c r="J6" i="3" s="1"/>
  <c r="AF26" i="3" l="1"/>
  <c r="D17" i="4" s="1"/>
  <c r="AF5" i="3"/>
  <c r="D33" i="4" s="1"/>
  <c r="AF13" i="3"/>
  <c r="D9" i="4" s="1"/>
  <c r="AF18" i="3"/>
  <c r="D19" i="4" s="1"/>
  <c r="AF37" i="3"/>
  <c r="D20" i="4" s="1"/>
  <c r="AF25" i="3"/>
  <c r="D25" i="4" s="1"/>
  <c r="AF23" i="3"/>
  <c r="D7" i="4" s="1"/>
  <c r="AF20" i="3"/>
  <c r="D26" i="4" s="1"/>
  <c r="AF38" i="3"/>
  <c r="D5" i="4" s="1"/>
  <c r="AF7" i="3"/>
  <c r="D15" i="4" s="1"/>
  <c r="AF21" i="3"/>
  <c r="D10" i="4" s="1"/>
  <c r="AF24" i="3"/>
  <c r="D28" i="4" s="1"/>
  <c r="AF10" i="3"/>
  <c r="D31" i="4" s="1"/>
  <c r="AF22" i="3"/>
  <c r="D18" i="4" s="1"/>
  <c r="AF30" i="3"/>
  <c r="D22" i="4" s="1"/>
  <c r="AF35" i="3"/>
  <c r="D29" i="4" s="1"/>
  <c r="AF33" i="3"/>
  <c r="D3" i="4" s="1"/>
  <c r="AF11" i="3"/>
  <c r="D35" i="4" s="1"/>
  <c r="AF15" i="3"/>
  <c r="D4" i="4" s="1"/>
  <c r="AF36" i="3"/>
  <c r="D2" i="4" s="1"/>
  <c r="AF4" i="3"/>
  <c r="D14" i="4" s="1"/>
  <c r="AF28" i="3"/>
  <c r="D11" i="4" s="1"/>
  <c r="AF16" i="3"/>
  <c r="D13" i="4" s="1"/>
  <c r="AF8" i="3"/>
  <c r="D27" i="4" s="1"/>
  <c r="AF14" i="3"/>
  <c r="D6" i="4" s="1"/>
  <c r="AF19" i="3"/>
  <c r="D24" i="4" s="1"/>
  <c r="AF12" i="3"/>
  <c r="D8" i="4" s="1"/>
  <c r="AF17" i="3"/>
  <c r="D12" i="4" s="1"/>
  <c r="AF9" i="3"/>
  <c r="D32" i="4" s="1"/>
  <c r="AF31" i="3"/>
  <c r="D16" i="4" s="1"/>
  <c r="AF27" i="3"/>
  <c r="D34" i="4" s="1"/>
  <c r="AF29" i="3"/>
  <c r="D21" i="4" s="1"/>
  <c r="AF32" i="3"/>
  <c r="D36" i="4" s="1"/>
  <c r="AF34" i="3"/>
  <c r="D30" i="4" s="1"/>
  <c r="AF6" i="3"/>
  <c r="D23" i="4" s="1"/>
  <c r="E14" i="4" l="1"/>
  <c r="E2" i="4"/>
  <c r="E11" i="4"/>
  <c r="E22" i="4"/>
  <c r="E28" i="4"/>
  <c r="E10" i="4"/>
  <c r="E21" i="4"/>
  <c r="E15" i="4"/>
  <c r="E5" i="4"/>
  <c r="E23" i="4"/>
  <c r="E26" i="4"/>
  <c r="E31" i="4"/>
  <c r="E7" i="4"/>
  <c r="E35" i="4"/>
  <c r="E25" i="4"/>
  <c r="E18" i="4"/>
  <c r="E20" i="4"/>
  <c r="E3" i="4"/>
  <c r="E34" i="4"/>
  <c r="E8" i="4"/>
  <c r="E19" i="4"/>
  <c r="E4" i="4"/>
  <c r="E36" i="4"/>
  <c r="E12" i="4"/>
  <c r="E6" i="4"/>
  <c r="E9" i="4"/>
  <c r="E29" i="4"/>
  <c r="E16" i="4"/>
  <c r="E24" i="4"/>
  <c r="E27" i="4"/>
  <c r="E33" i="4"/>
  <c r="E30" i="4"/>
  <c r="E32" i="4"/>
  <c r="E13" i="4"/>
  <c r="E17" i="4"/>
</calcChain>
</file>

<file path=xl/sharedStrings.xml><?xml version="1.0" encoding="utf-8"?>
<sst xmlns="http://schemas.openxmlformats.org/spreadsheetml/2006/main" count="1717" uniqueCount="186">
  <si>
    <t>班级</t>
  </si>
  <si>
    <t>学号</t>
  </si>
  <si>
    <t>姓名</t>
  </si>
  <si>
    <t>总分</t>
  </si>
  <si>
    <t>综合测评分排名</t>
  </si>
  <si>
    <t>平均学分绩点排名</t>
  </si>
  <si>
    <t>德育素质分（10%）</t>
  </si>
  <si>
    <t>智育素质分(60%)</t>
  </si>
  <si>
    <t>体育素质（8%）</t>
  </si>
  <si>
    <t>美育素质（5%)</t>
  </si>
  <si>
    <t>劳育素质（5%）</t>
  </si>
  <si>
    <t>创新与实践素质（12%）</t>
  </si>
  <si>
    <t>综合测评总得分</t>
  </si>
  <si>
    <t>基本评定分项目
（满分：6分）</t>
  </si>
  <si>
    <t>记实加减分（满分：4分）</t>
  </si>
  <si>
    <t>德育素质总得分</t>
  </si>
  <si>
    <t>体育课程成绩
（满分：5分）</t>
  </si>
  <si>
    <t>课外体育活动成绩
（满分：3分）</t>
  </si>
  <si>
    <t>体育素质总得分</t>
  </si>
  <si>
    <t>文化艺术实践成绩
（满分：0.5分）</t>
  </si>
  <si>
    <t>校内外文化艺术活动</t>
  </si>
  <si>
    <t>美育素质总得分</t>
  </si>
  <si>
    <t>志愿服务
（满分：4分）</t>
  </si>
  <si>
    <t>实习实训</t>
  </si>
  <si>
    <t>劳育素质总得分</t>
  </si>
  <si>
    <t>创新创业素质</t>
  </si>
  <si>
    <t>水平考试</t>
  </si>
  <si>
    <t>社会实践</t>
  </si>
  <si>
    <t>社会工作能力
（工作表现）</t>
  </si>
  <si>
    <t>创新与实践素质总得分</t>
  </si>
  <si>
    <t>集体评定等级分
（满分：2分）</t>
  </si>
  <si>
    <t>社会责任记实分
（满分：2分）</t>
  </si>
  <si>
    <t>违纪违规扣分</t>
  </si>
  <si>
    <t>荣誉称号加分</t>
  </si>
  <si>
    <t>校内外体育竞赛得分</t>
  </si>
  <si>
    <t>早锻炼总分</t>
  </si>
  <si>
    <t>校园跑总分</t>
  </si>
  <si>
    <t>AB类总分</t>
  </si>
  <si>
    <t>C类</t>
  </si>
  <si>
    <t>得分</t>
  </si>
  <si>
    <t>类别</t>
  </si>
  <si>
    <t>加减分条目</t>
  </si>
  <si>
    <t>等级</t>
  </si>
  <si>
    <t>学期</t>
  </si>
  <si>
    <t>分数</t>
  </si>
  <si>
    <t>B</t>
  </si>
  <si>
    <t>基本评定分</t>
  </si>
  <si>
    <t>A</t>
  </si>
  <si>
    <t>社会责任记实分</t>
  </si>
  <si>
    <t>平均学分绩点</t>
  </si>
  <si>
    <t>奖次</t>
  </si>
  <si>
    <t>顺位</t>
  </si>
  <si>
    <t>团体比例系数</t>
  </si>
  <si>
    <t>体育课程成绩</t>
  </si>
  <si>
    <t>校内外体育竞赛</t>
  </si>
  <si>
    <t>市/校级</t>
  </si>
  <si>
    <t>校内外文化艺术竞赛</t>
  </si>
  <si>
    <t>劳动日常考核基础分</t>
  </si>
  <si>
    <t>社会工作能力（工作表现）</t>
  </si>
  <si>
    <t>2022数据科学与大数据技术（大数据工程应用方向）</t>
  </si>
  <si>
    <t>202206010110</t>
  </si>
  <si>
    <t>202205620122</t>
  </si>
  <si>
    <t>202206010210</t>
  </si>
  <si>
    <t>202205620232</t>
  </si>
  <si>
    <t>202205620203</t>
  </si>
  <si>
    <t>202205620123</t>
  </si>
  <si>
    <t>202205620218</t>
  </si>
  <si>
    <t>202205620231</t>
  </si>
  <si>
    <t>202205620228</t>
  </si>
  <si>
    <t>202206010321</t>
  </si>
  <si>
    <t>202205720404</t>
  </si>
  <si>
    <t>202205620110</t>
  </si>
  <si>
    <t>202205620112</t>
  </si>
  <si>
    <t>202205620106</t>
  </si>
  <si>
    <t>202205620104</t>
  </si>
  <si>
    <t>202205620121</t>
  </si>
  <si>
    <t>202205620120</t>
  </si>
  <si>
    <t>202205620133</t>
  </si>
  <si>
    <t>202205620204</t>
  </si>
  <si>
    <t>202205620213</t>
  </si>
  <si>
    <t>202205620113</t>
  </si>
  <si>
    <t>202205620131</t>
  </si>
  <si>
    <t>202205620108</t>
  </si>
  <si>
    <t>202205620223</t>
  </si>
  <si>
    <t>202205620210</t>
  </si>
  <si>
    <t>202205620130</t>
  </si>
  <si>
    <t>202205620234</t>
  </si>
  <si>
    <t>202205620117</t>
  </si>
  <si>
    <t>202205620135</t>
  </si>
  <si>
    <t>202205620201</t>
  </si>
  <si>
    <t>202205620128</t>
  </si>
  <si>
    <t>202206010301</t>
  </si>
  <si>
    <t>202205620101</t>
  </si>
  <si>
    <t>202205620227</t>
  </si>
  <si>
    <t>202205620224</t>
  </si>
  <si>
    <t>202205030501</t>
  </si>
  <si>
    <t>202205620134</t>
  </si>
  <si>
    <t>202205620105</t>
  </si>
  <si>
    <t>202205030501</t>
    <phoneticPr fontId="7" type="noConversion"/>
  </si>
  <si>
    <t>在浙江省青少年高校科学营活动浙江工业大学分营计算机学院智能小车实践活动中突出贡献工作人员</t>
  </si>
  <si>
    <t>2024级本科生助理班主任</t>
  </si>
  <si>
    <t>校2025年度“三位一体”综合评价招生志愿者</t>
  </si>
  <si>
    <t>2024级本科新生党员领航员</t>
  </si>
  <si>
    <t>院级</t>
    <phoneticPr fontId="7" type="noConversion"/>
  </si>
  <si>
    <t>体育成绩</t>
    <phoneticPr fontId="7" type="noConversion"/>
  </si>
  <si>
    <t>下学期</t>
    <phoneticPr fontId="7" type="noConversion"/>
  </si>
  <si>
    <t>秋季木球赛男子团体</t>
    <phoneticPr fontId="7" type="noConversion"/>
  </si>
  <si>
    <t>第一</t>
  </si>
  <si>
    <t>队员</t>
    <phoneticPr fontId="7" type="noConversion"/>
  </si>
  <si>
    <t>校运会定向比赛公开组女子中距离</t>
    <phoneticPr fontId="7" type="noConversion"/>
  </si>
  <si>
    <t>第2名</t>
  </si>
  <si>
    <t>一等奖</t>
    <phoneticPr fontId="7" type="noConversion"/>
  </si>
  <si>
    <t>分党校培训班优秀主题讨论作品</t>
    <phoneticPr fontId="7" type="noConversion"/>
  </si>
  <si>
    <t>队长</t>
    <phoneticPr fontId="7" type="noConversion"/>
  </si>
  <si>
    <t>三等奖</t>
    <phoneticPr fontId="7" type="noConversion"/>
  </si>
  <si>
    <t>第四十二届专业学术竞赛</t>
  </si>
  <si>
    <t>团支书</t>
    <phoneticPr fontId="7" type="noConversion"/>
  </si>
  <si>
    <t>班长</t>
    <phoneticPr fontId="7" type="noConversion"/>
  </si>
  <si>
    <t>学习委员</t>
    <phoneticPr fontId="7" type="noConversion"/>
  </si>
  <si>
    <t>上学期</t>
    <phoneticPr fontId="7" type="noConversion"/>
  </si>
  <si>
    <t>B</t>
    <phoneticPr fontId="7" type="noConversion"/>
  </si>
  <si>
    <t>A</t>
    <phoneticPr fontId="7" type="noConversion"/>
  </si>
  <si>
    <t>文体委员</t>
    <phoneticPr fontId="7" type="noConversion"/>
  </si>
  <si>
    <t>生活委员</t>
    <phoneticPr fontId="7" type="noConversion"/>
  </si>
  <si>
    <t>心理委员</t>
    <phoneticPr fontId="7" type="noConversion"/>
  </si>
  <si>
    <t>日常劳动</t>
    <phoneticPr fontId="7" type="noConversion"/>
  </si>
  <si>
    <t>202205620106</t>
    <phoneticPr fontId="7" type="noConversion"/>
  </si>
  <si>
    <t>省级</t>
    <phoneticPr fontId="7" type="noConversion"/>
  </si>
  <si>
    <t>202205620110</t>
    <phoneticPr fontId="7" type="noConversion"/>
  </si>
  <si>
    <t>校级</t>
    <phoneticPr fontId="7" type="noConversion"/>
  </si>
  <si>
    <t>202205620122</t>
    <phoneticPr fontId="7" type="noConversion"/>
  </si>
  <si>
    <t>202205620203</t>
    <phoneticPr fontId="7" type="noConversion"/>
  </si>
  <si>
    <t>浙江工业大学计算机学院“双百双进”暑期社会实践</t>
    <phoneticPr fontId="7" type="noConversion"/>
  </si>
  <si>
    <t>水平考试</t>
    <phoneticPr fontId="7" type="noConversion"/>
  </si>
  <si>
    <t>优秀</t>
    <phoneticPr fontId="7" type="noConversion"/>
  </si>
  <si>
    <t>202205620231</t>
    <phoneticPr fontId="7" type="noConversion"/>
  </si>
  <si>
    <t>2024年高教社杯全国大学生数学建模竞赛本科组</t>
    <phoneticPr fontId="7" type="noConversion"/>
  </si>
  <si>
    <t>国家级</t>
    <phoneticPr fontId="7" type="noConversion"/>
  </si>
  <si>
    <t>一等奖</t>
  </si>
  <si>
    <t>年级团总支副书记</t>
    <phoneticPr fontId="7" type="noConversion"/>
  </si>
  <si>
    <t>2024年全国大学生数学建模竞赛</t>
    <phoneticPr fontId="7" type="noConversion"/>
  </si>
  <si>
    <t>2025年美国大学生数学建模竞赛</t>
    <phoneticPr fontId="7" type="noConversion"/>
  </si>
  <si>
    <t>2025年大学生创新创业训练计划项目结题</t>
    <phoneticPr fontId="7" type="noConversion"/>
  </si>
  <si>
    <t>“双百双进”暑期社会实践 校优秀团队</t>
    <phoneticPr fontId="7" type="noConversion"/>
  </si>
  <si>
    <t>全国计算机等级考试 三级网络技术优秀</t>
    <phoneticPr fontId="7" type="noConversion"/>
  </si>
  <si>
    <t>202205620104</t>
    <phoneticPr fontId="7" type="noConversion"/>
  </si>
  <si>
    <t>202205620112</t>
    <phoneticPr fontId="7" type="noConversion"/>
  </si>
  <si>
    <t>202205620130</t>
    <phoneticPr fontId="7" type="noConversion"/>
  </si>
  <si>
    <t>202205620234</t>
    <phoneticPr fontId="7" type="noConversion"/>
  </si>
  <si>
    <t>女子4*100m</t>
    <phoneticPr fontId="7" type="noConversion"/>
  </si>
  <si>
    <t>女子4*400m</t>
    <phoneticPr fontId="7" type="noConversion"/>
  </si>
  <si>
    <t>引体向上团体</t>
    <phoneticPr fontId="7" type="noConversion"/>
  </si>
  <si>
    <t>“健体标兵”</t>
  </si>
  <si>
    <t>院级</t>
  </si>
  <si>
    <t>202205620203</t>
    <phoneticPr fontId="7" type="noConversion"/>
  </si>
  <si>
    <t>890一站式学生社区值班全勤人员</t>
  </si>
  <si>
    <t>优秀团干</t>
    <phoneticPr fontId="7" type="noConversion"/>
  </si>
  <si>
    <t>专利</t>
    <phoneticPr fontId="7" type="noConversion"/>
  </si>
  <si>
    <t>全国大学生英语竞赛</t>
  </si>
  <si>
    <t>市/校级</t>
    <phoneticPr fontId="7" type="noConversion"/>
  </si>
  <si>
    <t>202205620203</t>
    <phoneticPr fontId="7" type="noConversion"/>
  </si>
  <si>
    <t>星级志愿者</t>
    <phoneticPr fontId="7" type="noConversion"/>
  </si>
  <si>
    <t>校级</t>
    <phoneticPr fontId="7" type="noConversion"/>
  </si>
  <si>
    <t>202205720404</t>
    <phoneticPr fontId="7" type="noConversion"/>
  </si>
  <si>
    <t>2024中国机器人大赛暨RoboCup机器人世界杯中国赛</t>
    <phoneticPr fontId="7" type="noConversion"/>
  </si>
  <si>
    <t>浙江工业大学程序设计竞赛</t>
  </si>
  <si>
    <t>浙江工业大学第二十二届程序设计竞赛</t>
    <phoneticPr fontId="7" type="noConversion"/>
  </si>
  <si>
    <t>浙江工业大学第十九届木球锦标赛男子单打</t>
    <phoneticPr fontId="7" type="noConversion"/>
  </si>
  <si>
    <t>第二</t>
  </si>
  <si>
    <t>浙江工业大学第十九届木球锦标赛混双</t>
    <phoneticPr fontId="7" type="noConversion"/>
  </si>
  <si>
    <t>第八</t>
  </si>
  <si>
    <t>0,25</t>
    <phoneticPr fontId="7" type="noConversion"/>
  </si>
  <si>
    <t>202205620232</t>
    <phoneticPr fontId="7" type="noConversion"/>
  </si>
  <si>
    <t>浙江工业大学计算机学院“双百双进”暑期社会实践优秀团队</t>
    <phoneticPr fontId="7" type="noConversion"/>
  </si>
  <si>
    <t>2022数据科学与大数据技术（大数据工程应用方向01）</t>
  </si>
  <si>
    <t>校内外体育活动</t>
  </si>
  <si>
    <t>校园跑</t>
    <phoneticPr fontId="7" type="noConversion"/>
  </si>
  <si>
    <t>志愿服务</t>
  </si>
  <si>
    <t>A类+B类</t>
    <phoneticPr fontId="7" type="noConversion"/>
  </si>
  <si>
    <t>六级</t>
    <phoneticPr fontId="7" type="noConversion"/>
  </si>
  <si>
    <t>集体评定等级分</t>
  </si>
  <si>
    <t>党支部支委</t>
    <phoneticPr fontId="7" type="noConversion"/>
  </si>
  <si>
    <t>班级考评等级</t>
  </si>
  <si>
    <t>202205620227</t>
    <phoneticPr fontId="7" type="noConversion"/>
  </si>
  <si>
    <t>宣调委员</t>
    <phoneticPr fontId="7" type="noConversion"/>
  </si>
  <si>
    <t>H奖</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</si>
</sst>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_);[Red]\(0.00\)"/>
  </numFmts>
  <fonts count="14" x14ac:knownFonts="1">
    <font>
      <sz val="11"/>
      <color theme="1"/>
      <name val="宋体"/>
      <charset val="134"/>
      <scheme val="minor"/>
    </font>
    <font>
      <sz val="11"/>
      <name val="宋体"/>
      <family val="3"/>
      <charset val="134"/>
    </font>
    <font>
      <sz val="11"/>
      <color theme="1"/>
      <name val="宋体"/>
      <family val="3"/>
      <charset val="134"/>
    </font>
    <font>
      <sz val="11"/>
      <name val="宋体"/>
      <family val="3"/>
      <charset val="134"/>
      <scheme val="minor"/>
    </font>
    <font>
      <b/>
      <sz val="11"/>
      <color theme="1"/>
      <name val="宋体"/>
      <family val="3"/>
      <charset val="134"/>
    </font>
    <font>
      <b/>
      <sz val="11"/>
      <name val="宋体"/>
      <family val="3"/>
      <charset val="134"/>
    </font>
    <font>
      <sz val="12"/>
      <name val="宋体"/>
      <family val="3"/>
      <charset val="134"/>
    </font>
    <font>
      <sz val="9"/>
      <name val="宋体"/>
      <family val="3"/>
      <charset val="134"/>
      <scheme val="minor"/>
    </font>
    <font>
      <sz val="11"/>
      <color theme="1"/>
      <name val="宋体"/>
      <family val="3"/>
      <charset val="134"/>
      <scheme val="minor"/>
    </font>
    <font>
      <sz val="11"/>
      <color rgb="FF000000"/>
      <name val="宋体"/>
      <family val="3"/>
      <charset val="134"/>
    </font>
    <font>
      <sz val="10"/>
      <color theme="1"/>
      <name val="Arial"/>
      <family val="2"/>
    </font>
    <font>
      <sz val="11"/>
      <color rgb="FF000000"/>
      <name val="宋体"/>
      <family val="3"/>
      <charset val="134"/>
      <scheme val="minor"/>
    </font>
    <font>
      <sz val="11"/>
      <color rgb="FF333333"/>
      <name val="宋体"/>
      <family val="3"/>
      <charset val="134"/>
      <scheme val="minor"/>
    </font>
    <font>
      <sz val="11"/>
      <color theme="1"/>
      <name val="宋体"/>
      <family val="3"/>
      <charset val="134"/>
      <scheme val="major"/>
    </font>
  </fonts>
  <fills count="3">
    <fill>
      <patternFill patternType="none"/>
    </fill>
    <fill>
      <patternFill patternType="gray125"/>
    </fill>
    <fill>
      <patternFill patternType="solid">
        <fgColor rgb="FFFFFFFF"/>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s>
  <cellStyleXfs count="5">
    <xf numFmtId="0" fontId="0" fillId="0" borderId="0">
      <alignment vertical="center"/>
    </xf>
    <xf numFmtId="0" fontId="6" fillId="0" borderId="0"/>
    <xf numFmtId="0" fontId="6" fillId="0" borderId="0"/>
    <xf numFmtId="0" fontId="10" fillId="0" borderId="0"/>
    <xf numFmtId="0" fontId="8" fillId="0" borderId="0"/>
  </cellStyleXfs>
  <cellXfs count="55">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176"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176" fontId="2" fillId="0" borderId="1" xfId="0" applyNumberFormat="1" applyFont="1" applyBorder="1" applyAlignment="1">
      <alignment horizontal="center" vertical="center"/>
    </xf>
    <xf numFmtId="0" fontId="0" fillId="0" borderId="1" xfId="0" applyBorder="1">
      <alignment vertical="center"/>
    </xf>
    <xf numFmtId="0" fontId="3" fillId="0" borderId="1" xfId="0" applyFont="1" applyBorder="1" applyAlignment="1">
      <alignment horizontal="center" vertical="center"/>
    </xf>
    <xf numFmtId="0" fontId="0" fillId="0" borderId="0" xfId="0" applyAlignment="1">
      <alignment horizontal="left" vertical="center"/>
    </xf>
    <xf numFmtId="0" fontId="1" fillId="0" borderId="1" xfId="0" applyFont="1" applyBorder="1" applyAlignment="1">
      <alignment horizontal="center" vertical="center"/>
    </xf>
    <xf numFmtId="49" fontId="2" fillId="0" borderId="0" xfId="0" applyNumberFormat="1" applyFont="1" applyAlignment="1">
      <alignment horizontal="center" vertical="center" wrapText="1"/>
    </xf>
    <xf numFmtId="0" fontId="2" fillId="0" borderId="0" xfId="0" applyFont="1" applyAlignment="1">
      <alignment horizontal="center" vertical="center"/>
    </xf>
    <xf numFmtId="49" fontId="9" fillId="0" borderId="1" xfId="0" applyNumberFormat="1" applyFont="1" applyBorder="1" applyAlignment="1">
      <alignment horizontal="center" wrapText="1"/>
    </xf>
    <xf numFmtId="0" fontId="9" fillId="0" borderId="1" xfId="0" applyFont="1" applyBorder="1" applyAlignment="1">
      <alignment horizontal="center"/>
    </xf>
    <xf numFmtId="49" fontId="9" fillId="0" borderId="1" xfId="0" applyNumberFormat="1" applyFont="1" applyBorder="1" applyAlignment="1">
      <alignment horizontal="center"/>
    </xf>
    <xf numFmtId="49" fontId="0" fillId="0" borderId="1" xfId="0" applyNumberFormat="1" applyBorder="1" applyAlignment="1">
      <alignment horizontal="center" vertical="center"/>
    </xf>
    <xf numFmtId="0" fontId="8" fillId="0" borderId="1" xfId="0" applyFont="1" applyBorder="1" applyAlignment="1">
      <alignment horizontal="center" vertical="center"/>
    </xf>
    <xf numFmtId="0" fontId="11" fillId="0" borderId="1" xfId="0" quotePrefix="1" applyFont="1" applyBorder="1" applyAlignment="1">
      <alignment horizontal="center" vertical="center"/>
    </xf>
    <xf numFmtId="176" fontId="0" fillId="0" borderId="1" xfId="0" applyNumberFormat="1" applyBorder="1" applyAlignment="1">
      <alignment horizontal="center" vertical="center"/>
    </xf>
    <xf numFmtId="176" fontId="8" fillId="0" borderId="1" xfId="0" applyNumberFormat="1" applyFont="1" applyBorder="1" applyAlignment="1">
      <alignment horizontal="center" vertical="center"/>
    </xf>
    <xf numFmtId="176" fontId="0" fillId="0" borderId="0" xfId="0" applyNumberFormat="1">
      <alignment vertical="center"/>
    </xf>
    <xf numFmtId="0" fontId="12" fillId="2" borderId="1" xfId="0" applyFont="1" applyFill="1" applyBorder="1" applyAlignment="1">
      <alignment horizontal="center" vertical="center" wrapText="1"/>
    </xf>
    <xf numFmtId="176" fontId="8" fillId="0" borderId="1" xfId="0" applyNumberFormat="1" applyFont="1" applyBorder="1" applyAlignment="1">
      <alignment horizontal="center" vertical="center" wrapText="1"/>
    </xf>
    <xf numFmtId="0" fontId="8" fillId="0" borderId="1" xfId="0" quotePrefix="1" applyFont="1" applyBorder="1" applyAlignment="1">
      <alignment horizontal="center" vertical="center"/>
    </xf>
    <xf numFmtId="0" fontId="11" fillId="0" borderId="1" xfId="0" applyFont="1" applyBorder="1" applyAlignment="1">
      <alignment horizontal="center" vertical="center"/>
    </xf>
    <xf numFmtId="0" fontId="11" fillId="0" borderId="4" xfId="0" applyFont="1" applyBorder="1" applyAlignment="1">
      <alignment horizontal="center" vertical="center"/>
    </xf>
    <xf numFmtId="176" fontId="1" fillId="0" borderId="1" xfId="0" applyNumberFormat="1" applyFont="1" applyBorder="1" applyAlignment="1">
      <alignment horizontal="center" vertical="center" wrapText="1"/>
    </xf>
    <xf numFmtId="176" fontId="2" fillId="0" borderId="0" xfId="0" applyNumberFormat="1" applyFont="1" applyAlignment="1">
      <alignment horizontal="center" vertical="center"/>
    </xf>
    <xf numFmtId="176" fontId="1" fillId="0" borderId="3" xfId="0" applyNumberFormat="1" applyFont="1" applyBorder="1" applyAlignment="1">
      <alignment horizontal="center" vertical="center" wrapText="1"/>
    </xf>
    <xf numFmtId="176" fontId="1" fillId="0" borderId="1" xfId="2" applyNumberFormat="1" applyFont="1" applyBorder="1" applyAlignment="1">
      <alignment horizontal="center" vertical="center" wrapText="1"/>
    </xf>
    <xf numFmtId="176" fontId="3" fillId="0" borderId="1" xfId="0" applyNumberFormat="1" applyFont="1" applyBorder="1" applyAlignment="1">
      <alignment horizontal="center" vertical="center"/>
    </xf>
    <xf numFmtId="176" fontId="0" fillId="0" borderId="0" xfId="0" applyNumberFormat="1" applyAlignment="1">
      <alignment horizontal="center" vertical="center"/>
    </xf>
    <xf numFmtId="49" fontId="8" fillId="0" borderId="1" xfId="0" applyNumberFormat="1" applyFont="1" applyBorder="1" applyAlignment="1">
      <alignment horizontal="center" vertical="center"/>
    </xf>
    <xf numFmtId="0" fontId="1" fillId="0" borderId="1" xfId="0" quotePrefix="1" applyFont="1" applyBorder="1" applyAlignment="1">
      <alignment horizontal="center" vertical="center"/>
    </xf>
    <xf numFmtId="49" fontId="0" fillId="0" borderId="0" xfId="0" applyNumberFormat="1" applyAlignment="1">
      <alignment horizontal="center" vertical="center"/>
    </xf>
    <xf numFmtId="177" fontId="0" fillId="0" borderId="1" xfId="0" applyNumberFormat="1" applyBorder="1" applyAlignment="1">
      <alignment horizontal="center" vertical="center"/>
    </xf>
    <xf numFmtId="0" fontId="0" fillId="0" borderId="0" xfId="0" applyAlignment="1"/>
    <xf numFmtId="0" fontId="13" fillId="0" borderId="1" xfId="0" applyFont="1" applyBorder="1" applyAlignment="1">
      <alignment horizontal="center" vertical="center"/>
    </xf>
    <xf numFmtId="49" fontId="3" fillId="0" borderId="1" xfId="0" applyNumberFormat="1" applyFont="1" applyBorder="1" applyAlignment="1">
      <alignment horizontal="center" vertical="center"/>
    </xf>
    <xf numFmtId="49" fontId="1" fillId="0" borderId="1" xfId="0" applyNumberFormat="1" applyFont="1" applyBorder="1" applyAlignment="1">
      <alignment horizontal="center" vertical="center"/>
    </xf>
    <xf numFmtId="176" fontId="5" fillId="0" borderId="1" xfId="1" applyNumberFormat="1" applyFont="1" applyBorder="1" applyAlignment="1">
      <alignment horizontal="center" vertical="center" wrapText="1"/>
    </xf>
    <xf numFmtId="176" fontId="1" fillId="0" borderId="3" xfId="0" applyNumberFormat="1" applyFont="1" applyBorder="1" applyAlignment="1">
      <alignment horizontal="center" vertical="center" wrapText="1"/>
    </xf>
    <xf numFmtId="176" fontId="1" fillId="0" borderId="2" xfId="0" applyNumberFormat="1" applyFont="1" applyBorder="1" applyAlignment="1">
      <alignment horizontal="center" vertical="center" wrapText="1"/>
    </xf>
    <xf numFmtId="176" fontId="1" fillId="0" borderId="1" xfId="0"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176" fontId="1" fillId="0" borderId="1" xfId="2" applyNumberFormat="1" applyFont="1" applyBorder="1" applyAlignment="1">
      <alignment horizontal="center" vertical="center" wrapText="1"/>
    </xf>
    <xf numFmtId="176" fontId="1" fillId="0" borderId="3" xfId="2" applyNumberFormat="1" applyFont="1" applyBorder="1" applyAlignment="1">
      <alignment horizontal="center" vertical="center" wrapText="1"/>
    </xf>
    <xf numFmtId="176" fontId="1" fillId="0" borderId="2" xfId="2" applyNumberFormat="1" applyFont="1" applyBorder="1" applyAlignment="1">
      <alignment horizontal="center" vertical="center" wrapText="1"/>
    </xf>
    <xf numFmtId="176" fontId="2" fillId="0" borderId="3" xfId="0" applyNumberFormat="1" applyFont="1" applyBorder="1" applyAlignment="1">
      <alignment horizontal="center" vertical="center" wrapText="1"/>
    </xf>
    <xf numFmtId="176" fontId="2" fillId="0" borderId="2" xfId="0" applyNumberFormat="1" applyFont="1" applyBorder="1" applyAlignment="1">
      <alignment horizontal="center" vertical="center" wrapText="1"/>
    </xf>
  </cellXfs>
  <cellStyles count="5">
    <cellStyle name="Normal" xfId="3" xr:uid="{23923892-C71D-4AC4-AF6A-7AEC4211A086}"/>
    <cellStyle name="常规" xfId="0" builtinId="0"/>
    <cellStyle name="常规 2" xfId="4" xr:uid="{C5406A19-B512-4B24-B823-EE5A06EEA58B}"/>
    <cellStyle name="常规_Sheet1" xfId="2" xr:uid="{00000000-0005-0000-0000-000032000000}"/>
    <cellStyle name="常规_计科1101" xfId="1" xr:uid="{00000000-0005-0000-0000-000031000000}"/>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6"/>
  <sheetViews>
    <sheetView tabSelected="1" workbookViewId="0">
      <pane xSplit="2" ySplit="1" topLeftCell="C2" activePane="bottomRight" state="frozen"/>
      <selection pane="topRight"/>
      <selection pane="bottomLeft"/>
      <selection pane="bottomRight" activeCell="F27" sqref="F27"/>
    </sheetView>
  </sheetViews>
  <sheetFormatPr defaultColWidth="9.19921875" defaultRowHeight="13.5" x14ac:dyDescent="0.3"/>
  <cols>
    <col min="1" max="1" width="47.796875" style="12" bestFit="1" customWidth="1"/>
    <col min="2" max="2" width="13.265625" style="12" bestFit="1" customWidth="1"/>
    <col min="3" max="3" width="6.86328125" style="12" bestFit="1" customWidth="1"/>
    <col min="4" max="4" width="7.06640625" style="28" bestFit="1" customWidth="1"/>
    <col min="5" max="5" width="17.59765625" style="12" customWidth="1"/>
    <col min="6" max="6" width="20" style="12" customWidth="1"/>
    <col min="7" max="16384" width="9.19921875" style="12"/>
  </cols>
  <sheetData>
    <row r="1" spans="1:6" x14ac:dyDescent="0.3">
      <c r="A1" s="5" t="s">
        <v>0</v>
      </c>
      <c r="B1" s="4" t="s">
        <v>1</v>
      </c>
      <c r="C1" s="4" t="s">
        <v>2</v>
      </c>
      <c r="D1" s="6" t="s">
        <v>3</v>
      </c>
      <c r="E1" s="5" t="s">
        <v>4</v>
      </c>
      <c r="F1" s="5" t="s">
        <v>5</v>
      </c>
    </row>
    <row r="2" spans="1:6" x14ac:dyDescent="0.3">
      <c r="A2" s="10" t="s">
        <v>59</v>
      </c>
      <c r="B2" s="40" t="s">
        <v>95</v>
      </c>
      <c r="C2" s="10"/>
      <c r="D2" s="6">
        <f>VLOOKUP(B2,计分表!B:AF,31,0)</f>
        <v>52.562266666666659</v>
      </c>
      <c r="E2" s="5">
        <f t="shared" ref="E2:E36" si="0">_xlfn.RANK.EQ(D2,D$2:D$36)</f>
        <v>35</v>
      </c>
      <c r="F2" s="38">
        <f>_xlfn.RANK.EQ(VLOOKUP(B2,智育素质!$B:$D,3,0),智育素质!$D:$D,0)</f>
        <v>34</v>
      </c>
    </row>
    <row r="3" spans="1:6" x14ac:dyDescent="0.3">
      <c r="A3" s="10" t="s">
        <v>59</v>
      </c>
      <c r="B3" s="40" t="s">
        <v>92</v>
      </c>
      <c r="C3" s="10"/>
      <c r="D3" s="6">
        <f>VLOOKUP(B3,计分表!B:AF,31,0)</f>
        <v>55.22452083333333</v>
      </c>
      <c r="E3" s="5">
        <f t="shared" si="0"/>
        <v>31</v>
      </c>
      <c r="F3" s="38">
        <f>_xlfn.RANK.EQ(VLOOKUP(B3,智育素质!$B:$D,3,0),智育素质!$D:$D,0)</f>
        <v>33</v>
      </c>
    </row>
    <row r="4" spans="1:6" x14ac:dyDescent="0.3">
      <c r="A4" s="10" t="s">
        <v>59</v>
      </c>
      <c r="B4" s="40" t="s">
        <v>74</v>
      </c>
      <c r="C4" s="10"/>
      <c r="D4" s="6">
        <f>VLOOKUP(B4,计分表!B:AF,31,0)</f>
        <v>65.345733333333328</v>
      </c>
      <c r="E4" s="5">
        <f t="shared" si="0"/>
        <v>8</v>
      </c>
      <c r="F4" s="38">
        <f>_xlfn.RANK.EQ(VLOOKUP(B4,智育素质!$B:$D,3,0),智育素质!$D:$D,0)</f>
        <v>10</v>
      </c>
    </row>
    <row r="5" spans="1:6" x14ac:dyDescent="0.3">
      <c r="A5" s="10" t="s">
        <v>59</v>
      </c>
      <c r="B5" s="40" t="s">
        <v>97</v>
      </c>
      <c r="C5" s="10"/>
      <c r="D5" s="6">
        <f>VLOOKUP(B5,计分表!B:AF,31,0)</f>
        <v>55.047388888888889</v>
      </c>
      <c r="E5" s="5">
        <f t="shared" si="0"/>
        <v>32</v>
      </c>
      <c r="F5" s="38">
        <f>_xlfn.RANK.EQ(VLOOKUP(B5,智育素质!$B:$D,3,0),智育素质!$D:$D,0)</f>
        <v>32</v>
      </c>
    </row>
    <row r="6" spans="1:6" x14ac:dyDescent="0.3">
      <c r="A6" s="10" t="s">
        <v>59</v>
      </c>
      <c r="B6" s="40" t="s">
        <v>73</v>
      </c>
      <c r="C6" s="10"/>
      <c r="D6" s="6">
        <f>VLOOKUP(B6,计分表!B:AF,31,0)</f>
        <v>74.007649999999998</v>
      </c>
      <c r="E6" s="5">
        <f t="shared" si="0"/>
        <v>3</v>
      </c>
      <c r="F6" s="38">
        <f>_xlfn.RANK.EQ(VLOOKUP(B6,智育素质!$B:$D,3,0),智育素质!$D:$D,0)</f>
        <v>8</v>
      </c>
    </row>
    <row r="7" spans="1:6" x14ac:dyDescent="0.3">
      <c r="A7" s="10" t="s">
        <v>59</v>
      </c>
      <c r="B7" s="40" t="s">
        <v>82</v>
      </c>
      <c r="C7" s="10"/>
      <c r="D7" s="6">
        <f>VLOOKUP(B7,计分表!B:AF,31,0)</f>
        <v>58.472670833333332</v>
      </c>
      <c r="E7" s="5">
        <f t="shared" si="0"/>
        <v>26</v>
      </c>
      <c r="F7" s="38">
        <f>_xlfn.RANK.EQ(VLOOKUP(B7,智育素质!$B:$D,3,0),智育素质!$D:$D,0)</f>
        <v>26</v>
      </c>
    </row>
    <row r="8" spans="1:6" x14ac:dyDescent="0.3">
      <c r="A8" s="10" t="s">
        <v>59</v>
      </c>
      <c r="B8" s="40" t="s">
        <v>71</v>
      </c>
      <c r="C8" s="10"/>
      <c r="D8" s="6">
        <f>VLOOKUP(B8,计分表!B:AF,31,0)</f>
        <v>73.497722916666675</v>
      </c>
      <c r="E8" s="5">
        <f t="shared" si="0"/>
        <v>4</v>
      </c>
      <c r="F8" s="38">
        <f>_xlfn.RANK.EQ(VLOOKUP(B8,智育素质!$B:$D,3,0),智育素质!$D:$D,0)</f>
        <v>5</v>
      </c>
    </row>
    <row r="9" spans="1:6" x14ac:dyDescent="0.3">
      <c r="A9" s="10" t="s">
        <v>59</v>
      </c>
      <c r="B9" s="40" t="s">
        <v>72</v>
      </c>
      <c r="C9" s="10"/>
      <c r="D9" s="6">
        <f>VLOOKUP(B9,计分表!B:AF,31,0)</f>
        <v>64.662083333333328</v>
      </c>
      <c r="E9" s="5">
        <f t="shared" si="0"/>
        <v>10</v>
      </c>
      <c r="F9" s="38">
        <f>_xlfn.RANK.EQ(VLOOKUP(B9,智育素质!$B:$D,3,0),智育素质!$D:$D,0)</f>
        <v>12</v>
      </c>
    </row>
    <row r="10" spans="1:6" x14ac:dyDescent="0.3">
      <c r="A10" s="10" t="s">
        <v>59</v>
      </c>
      <c r="B10" s="40" t="s">
        <v>80</v>
      </c>
      <c r="C10" s="10"/>
      <c r="D10" s="6">
        <f>VLOOKUP(B10,计分表!B:AF,31,0)</f>
        <v>59.26092083333333</v>
      </c>
      <c r="E10" s="5">
        <f t="shared" si="0"/>
        <v>24</v>
      </c>
      <c r="F10" s="38">
        <f>_xlfn.RANK.EQ(VLOOKUP(B10,智育素质!$B:$D,3,0),智育素质!$D:$D,0)</f>
        <v>25</v>
      </c>
    </row>
    <row r="11" spans="1:6" x14ac:dyDescent="0.3">
      <c r="A11" s="10" t="s">
        <v>59</v>
      </c>
      <c r="B11" s="40" t="s">
        <v>87</v>
      </c>
      <c r="C11" s="10"/>
      <c r="D11" s="6">
        <f>VLOOKUP(B11,计分表!B:AF,31,0)</f>
        <v>61.768864583333333</v>
      </c>
      <c r="E11" s="5">
        <f t="shared" si="0"/>
        <v>14</v>
      </c>
      <c r="F11" s="38">
        <f>_xlfn.RANK.EQ(VLOOKUP(B11,智育素质!$B:$D,3,0),智育素质!$D:$D,0)</f>
        <v>24</v>
      </c>
    </row>
    <row r="12" spans="1:6" x14ac:dyDescent="0.3">
      <c r="A12" s="10" t="s">
        <v>59</v>
      </c>
      <c r="B12" s="40" t="s">
        <v>76</v>
      </c>
      <c r="C12" s="10"/>
      <c r="D12" s="6">
        <f>VLOOKUP(B12,计分表!B:AF,31,0)</f>
        <v>61.123493055555549</v>
      </c>
      <c r="E12" s="5">
        <f t="shared" si="0"/>
        <v>19</v>
      </c>
      <c r="F12" s="38">
        <f>_xlfn.RANK.EQ(VLOOKUP(B12,智育素质!$B:$D,3,0),智育素质!$D:$D,0)</f>
        <v>15</v>
      </c>
    </row>
    <row r="13" spans="1:6" x14ac:dyDescent="0.3">
      <c r="A13" s="10" t="s">
        <v>59</v>
      </c>
      <c r="B13" s="40" t="s">
        <v>75</v>
      </c>
      <c r="C13" s="10"/>
      <c r="D13" s="6">
        <f>VLOOKUP(B13,计分表!B:AF,31,0)</f>
        <v>61.500777777777778</v>
      </c>
      <c r="E13" s="5">
        <f t="shared" si="0"/>
        <v>17</v>
      </c>
      <c r="F13" s="38">
        <f>_xlfn.RANK.EQ(VLOOKUP(B13,智育素质!$B:$D,3,0),智育素质!$D:$D,0)</f>
        <v>13</v>
      </c>
    </row>
    <row r="14" spans="1:6" x14ac:dyDescent="0.3">
      <c r="A14" s="10" t="s">
        <v>59</v>
      </c>
      <c r="B14" s="40" t="s">
        <v>61</v>
      </c>
      <c r="C14" s="10"/>
      <c r="D14" s="6">
        <f>VLOOKUP(B14,计分表!B:AF,31,0)</f>
        <v>75.28873333333334</v>
      </c>
      <c r="E14" s="5">
        <f t="shared" si="0"/>
        <v>2</v>
      </c>
      <c r="F14" s="38">
        <f>_xlfn.RANK.EQ(VLOOKUP(B14,智育素质!$B:$D,3,0),智育素质!$D:$D,0)</f>
        <v>2</v>
      </c>
    </row>
    <row r="15" spans="1:6" x14ac:dyDescent="0.3">
      <c r="A15" s="10" t="s">
        <v>59</v>
      </c>
      <c r="B15" s="40" t="s">
        <v>65</v>
      </c>
      <c r="C15" s="10"/>
      <c r="D15" s="6">
        <f>VLOOKUP(B15,计分表!B:AF,31,0)</f>
        <v>68.307770833333336</v>
      </c>
      <c r="E15" s="5">
        <f t="shared" si="0"/>
        <v>7</v>
      </c>
      <c r="F15" s="38">
        <f>_xlfn.RANK.EQ(VLOOKUP(B15,智育素质!$B:$D,3,0),智育素质!$D:$D,0)</f>
        <v>3</v>
      </c>
    </row>
    <row r="16" spans="1:6" x14ac:dyDescent="0.3">
      <c r="A16" s="10" t="s">
        <v>59</v>
      </c>
      <c r="B16" s="40" t="s">
        <v>90</v>
      </c>
      <c r="C16" s="10"/>
      <c r="D16" s="6">
        <f>VLOOKUP(B16,计分表!B:AF,31,0)</f>
        <v>56.003287499999999</v>
      </c>
      <c r="E16" s="5">
        <f t="shared" si="0"/>
        <v>29</v>
      </c>
      <c r="F16" s="38">
        <f>_xlfn.RANK.EQ(VLOOKUP(B16,智育素质!$B:$D,3,0),智育素质!$D:$D,0)</f>
        <v>29</v>
      </c>
    </row>
    <row r="17" spans="1:6" x14ac:dyDescent="0.3">
      <c r="A17" s="10" t="s">
        <v>59</v>
      </c>
      <c r="B17" s="40" t="s">
        <v>85</v>
      </c>
      <c r="C17" s="10"/>
      <c r="D17" s="6">
        <f>VLOOKUP(B17,计分表!B:AF,31,0)</f>
        <v>61.293118749999998</v>
      </c>
      <c r="E17" s="5">
        <f t="shared" si="0"/>
        <v>18</v>
      </c>
      <c r="F17" s="38">
        <f>_xlfn.RANK.EQ(VLOOKUP(B17,智育素质!$B:$D,3,0),智育素质!$D:$D,0)</f>
        <v>18</v>
      </c>
    </row>
    <row r="18" spans="1:6" x14ac:dyDescent="0.3">
      <c r="A18" s="10" t="s">
        <v>59</v>
      </c>
      <c r="B18" s="40" t="s">
        <v>81</v>
      </c>
      <c r="C18" s="10"/>
      <c r="D18" s="6">
        <f>VLOOKUP(B18,计分表!B:AF,31,0)</f>
        <v>60.552500000000009</v>
      </c>
      <c r="E18" s="5">
        <f t="shared" si="0"/>
        <v>21</v>
      </c>
      <c r="F18" s="38">
        <f>_xlfn.RANK.EQ(VLOOKUP(B18,智育素质!$B:$D,3,0),智育素质!$D:$D,0)</f>
        <v>19</v>
      </c>
    </row>
    <row r="19" spans="1:6" x14ac:dyDescent="0.3">
      <c r="A19" s="10" t="s">
        <v>59</v>
      </c>
      <c r="B19" s="40" t="s">
        <v>77</v>
      </c>
      <c r="C19" s="10"/>
      <c r="D19" s="6">
        <f>VLOOKUP(B19,计分表!B:AF,31,0)</f>
        <v>61.618805555555561</v>
      </c>
      <c r="E19" s="5">
        <f t="shared" si="0"/>
        <v>16</v>
      </c>
      <c r="F19" s="38">
        <f>_xlfn.RANK.EQ(VLOOKUP(B19,智育素质!$B:$D,3,0),智育素质!$D:$D,0)</f>
        <v>14</v>
      </c>
    </row>
    <row r="20" spans="1:6" x14ac:dyDescent="0.3">
      <c r="A20" s="10" t="s">
        <v>59</v>
      </c>
      <c r="B20" s="40" t="s">
        <v>96</v>
      </c>
      <c r="C20" s="10"/>
      <c r="D20" s="6">
        <f>VLOOKUP(B20,计分表!B:AF,31,0)</f>
        <v>55.950315972222221</v>
      </c>
      <c r="E20" s="5">
        <f t="shared" si="0"/>
        <v>30</v>
      </c>
      <c r="F20" s="38">
        <f>_xlfn.RANK.EQ(VLOOKUP(B20,智育素质!$B:$D,3,0),智育素质!$D:$D,0)</f>
        <v>30</v>
      </c>
    </row>
    <row r="21" spans="1:6" x14ac:dyDescent="0.3">
      <c r="A21" s="10" t="s">
        <v>59</v>
      </c>
      <c r="B21" s="40" t="s">
        <v>88</v>
      </c>
      <c r="C21" s="10"/>
      <c r="D21" s="6">
        <f>VLOOKUP(B21,计分表!B:AF,31,0)</f>
        <v>56.6736</v>
      </c>
      <c r="E21" s="5">
        <f t="shared" si="0"/>
        <v>28</v>
      </c>
      <c r="F21" s="38">
        <f>_xlfn.RANK.EQ(VLOOKUP(B21,智育素质!$B:$D,3,0),智育素质!$D:$D,0)</f>
        <v>27</v>
      </c>
    </row>
    <row r="22" spans="1:6" x14ac:dyDescent="0.3">
      <c r="A22" s="10" t="s">
        <v>59</v>
      </c>
      <c r="B22" s="40" t="s">
        <v>89</v>
      </c>
      <c r="C22" s="10"/>
      <c r="D22" s="6">
        <f>VLOOKUP(B22,计分表!B:AF,31,0)</f>
        <v>61.761583333333327</v>
      </c>
      <c r="E22" s="5">
        <f t="shared" si="0"/>
        <v>15</v>
      </c>
      <c r="F22" s="38">
        <f>_xlfn.RANK.EQ(VLOOKUP(B22,智育素质!$B:$D,3,0),智育素质!$D:$D,0)</f>
        <v>17</v>
      </c>
    </row>
    <row r="23" spans="1:6" x14ac:dyDescent="0.3">
      <c r="A23" s="10" t="s">
        <v>59</v>
      </c>
      <c r="B23" s="40" t="s">
        <v>64</v>
      </c>
      <c r="C23" s="10"/>
      <c r="D23" s="6">
        <f>VLOOKUP(B23,计分表!B:AF,31,0)</f>
        <v>76.688266666666664</v>
      </c>
      <c r="E23" s="5">
        <f t="shared" si="0"/>
        <v>1</v>
      </c>
      <c r="F23" s="38">
        <f>_xlfn.RANK.EQ(VLOOKUP(B23,智育素质!$B:$D,3,0),智育素质!$D:$D,0)</f>
        <v>1</v>
      </c>
    </row>
    <row r="24" spans="1:6" x14ac:dyDescent="0.3">
      <c r="A24" s="10" t="s">
        <v>59</v>
      </c>
      <c r="B24" s="40" t="s">
        <v>78</v>
      </c>
      <c r="C24" s="10"/>
      <c r="D24" s="6">
        <f>VLOOKUP(B24,计分表!B:AF,31,0)</f>
        <v>60.90532291666667</v>
      </c>
      <c r="E24" s="5">
        <f t="shared" si="0"/>
        <v>20</v>
      </c>
      <c r="F24" s="38">
        <f>_xlfn.RANK.EQ(VLOOKUP(B24,智育素质!$B:$D,3,0),智育素质!$D:$D,0)</f>
        <v>16</v>
      </c>
    </row>
    <row r="25" spans="1:6" x14ac:dyDescent="0.3">
      <c r="A25" s="10" t="s">
        <v>59</v>
      </c>
      <c r="B25" s="40" t="s">
        <v>84</v>
      </c>
      <c r="C25" s="10"/>
      <c r="D25" s="6">
        <f>VLOOKUP(B25,计分表!B:AF,31,0)</f>
        <v>60.027815972222214</v>
      </c>
      <c r="E25" s="5">
        <f t="shared" si="0"/>
        <v>22</v>
      </c>
      <c r="F25" s="38">
        <f>_xlfn.RANK.EQ(VLOOKUP(B25,智育素质!$B:$D,3,0),智育素质!$D:$D,0)</f>
        <v>20</v>
      </c>
    </row>
    <row r="26" spans="1:6" x14ac:dyDescent="0.3">
      <c r="A26" s="10" t="s">
        <v>59</v>
      </c>
      <c r="B26" s="40" t="s">
        <v>79</v>
      </c>
      <c r="C26" s="10"/>
      <c r="D26" s="6">
        <f>VLOOKUP(B26,计分表!B:AF,31,0)</f>
        <v>59.032732638888888</v>
      </c>
      <c r="E26" s="5">
        <f t="shared" si="0"/>
        <v>25</v>
      </c>
      <c r="F26" s="38">
        <f>_xlfn.RANK.EQ(VLOOKUP(B26,智育素质!$B:$D,3,0),智育素质!$D:$D,0)</f>
        <v>22</v>
      </c>
    </row>
    <row r="27" spans="1:6" x14ac:dyDescent="0.3">
      <c r="A27" s="10" t="s">
        <v>59</v>
      </c>
      <c r="B27" s="40" t="s">
        <v>66</v>
      </c>
      <c r="C27" s="10"/>
      <c r="D27" s="6">
        <f>VLOOKUP(B27,计分表!B:AF,31,0)</f>
        <v>64.314402777777772</v>
      </c>
      <c r="E27" s="5">
        <f t="shared" si="0"/>
        <v>11</v>
      </c>
      <c r="F27" s="38">
        <f>_xlfn.RANK.EQ(VLOOKUP(B27,智育素质!$B:$D,3,0),智育素质!$D:$D,0)</f>
        <v>4</v>
      </c>
    </row>
    <row r="28" spans="1:6" x14ac:dyDescent="0.3">
      <c r="A28" s="10" t="s">
        <v>59</v>
      </c>
      <c r="B28" s="40" t="s">
        <v>83</v>
      </c>
      <c r="C28" s="10"/>
      <c r="D28" s="6">
        <f>VLOOKUP(B28,计分表!B:AF,31,0)</f>
        <v>59.272430555555559</v>
      </c>
      <c r="E28" s="5">
        <f t="shared" si="0"/>
        <v>23</v>
      </c>
      <c r="F28" s="38">
        <f>_xlfn.RANK.EQ(VLOOKUP(B28,智育素质!$B:$D,3,0),智育素质!$D:$D,0)</f>
        <v>23</v>
      </c>
    </row>
    <row r="29" spans="1:6" x14ac:dyDescent="0.3">
      <c r="A29" s="10" t="s">
        <v>59</v>
      </c>
      <c r="B29" s="40" t="s">
        <v>94</v>
      </c>
      <c r="C29" s="10"/>
      <c r="D29" s="6">
        <f>VLOOKUP(B29,计分表!B:AF,31,0)</f>
        <v>52.640599999999999</v>
      </c>
      <c r="E29" s="5">
        <f t="shared" si="0"/>
        <v>34</v>
      </c>
      <c r="F29" s="38">
        <f>_xlfn.RANK.EQ(VLOOKUP(B29,智育素质!$B:$D,3,0),智育素质!$D:$D,0)</f>
        <v>35</v>
      </c>
    </row>
    <row r="30" spans="1:6" x14ac:dyDescent="0.3">
      <c r="A30" s="10" t="s">
        <v>59</v>
      </c>
      <c r="B30" s="40" t="s">
        <v>93</v>
      </c>
      <c r="C30" s="10"/>
      <c r="D30" s="6">
        <f>VLOOKUP(B30,计分表!B:AF,31,0)</f>
        <v>57.014128472222225</v>
      </c>
      <c r="E30" s="5">
        <f t="shared" si="0"/>
        <v>27</v>
      </c>
      <c r="F30" s="38">
        <f>_xlfn.RANK.EQ(VLOOKUP(B30,智育素质!$B:$D,3,0),智育素质!$D:$D,0)</f>
        <v>28</v>
      </c>
    </row>
    <row r="31" spans="1:6" x14ac:dyDescent="0.3">
      <c r="A31" s="10" t="s">
        <v>59</v>
      </c>
      <c r="B31" s="40" t="s">
        <v>68</v>
      </c>
      <c r="C31" s="10"/>
      <c r="D31" s="6">
        <f>VLOOKUP(B31,计分表!B:AF,31,0)</f>
        <v>63.636687499999994</v>
      </c>
      <c r="E31" s="5">
        <f t="shared" si="0"/>
        <v>12</v>
      </c>
      <c r="F31" s="38">
        <f>_xlfn.RANK.EQ(VLOOKUP(B31,智育素质!$B:$D,3,0),智育素质!$D:$D,0)</f>
        <v>9</v>
      </c>
    </row>
    <row r="32" spans="1:6" x14ac:dyDescent="0.3">
      <c r="A32" s="10" t="s">
        <v>59</v>
      </c>
      <c r="B32" s="40" t="s">
        <v>67</v>
      </c>
      <c r="C32" s="10"/>
      <c r="D32" s="6">
        <f>VLOOKUP(B32,计分表!B:AF,31,0)</f>
        <v>72.291333333333327</v>
      </c>
      <c r="E32" s="5">
        <f t="shared" si="0"/>
        <v>5</v>
      </c>
      <c r="F32" s="38">
        <f>_xlfn.RANK.EQ(VLOOKUP(B32,智育素质!$B:$D,3,0),智育素质!$D:$D,0)</f>
        <v>7</v>
      </c>
    </row>
    <row r="33" spans="1:6" x14ac:dyDescent="0.3">
      <c r="A33" s="10" t="s">
        <v>59</v>
      </c>
      <c r="B33" s="40" t="s">
        <v>63</v>
      </c>
      <c r="C33" s="10"/>
      <c r="D33" s="6">
        <f>VLOOKUP(B33,计分表!B:AF,31,0)</f>
        <v>69.892733333333325</v>
      </c>
      <c r="E33" s="5">
        <f t="shared" si="0"/>
        <v>6</v>
      </c>
      <c r="F33" s="38">
        <f>_xlfn.RANK.EQ(VLOOKUP(B33,智育素质!$B:$D,3,0),智育素质!$D:$D,0)</f>
        <v>6</v>
      </c>
    </row>
    <row r="34" spans="1:6" x14ac:dyDescent="0.3">
      <c r="A34" s="10" t="s">
        <v>59</v>
      </c>
      <c r="B34" s="40" t="s">
        <v>86</v>
      </c>
      <c r="C34" s="10"/>
      <c r="D34" s="6">
        <f>VLOOKUP(B34,计分表!B:AF,31,0)</f>
        <v>62.46944791666666</v>
      </c>
      <c r="E34" s="5">
        <f t="shared" si="0"/>
        <v>13</v>
      </c>
      <c r="F34" s="38">
        <f>_xlfn.RANK.EQ(VLOOKUP(B34,智育素质!$B:$D,3,0),智育素质!$D:$D,0)</f>
        <v>21</v>
      </c>
    </row>
    <row r="35" spans="1:6" x14ac:dyDescent="0.3">
      <c r="A35" s="10" t="s">
        <v>59</v>
      </c>
      <c r="B35" s="40" t="s">
        <v>70</v>
      </c>
      <c r="C35" s="10"/>
      <c r="D35" s="6">
        <f>VLOOKUP(B35,计分表!B:AF,31,0)</f>
        <v>64.895679166666667</v>
      </c>
      <c r="E35" s="5">
        <f t="shared" si="0"/>
        <v>9</v>
      </c>
      <c r="F35" s="38">
        <f>_xlfn.RANK.EQ(VLOOKUP(B35,智育素质!$B:$D,3,0),智育素质!$D:$D,0)</f>
        <v>11</v>
      </c>
    </row>
    <row r="36" spans="1:6" x14ac:dyDescent="0.3">
      <c r="A36" s="10" t="s">
        <v>59</v>
      </c>
      <c r="B36" s="40" t="s">
        <v>91</v>
      </c>
      <c r="C36" s="10"/>
      <c r="D36" s="6">
        <f>VLOOKUP(B36,计分表!B:AF,31,0)</f>
        <v>54.848000496031744</v>
      </c>
      <c r="E36" s="5">
        <f t="shared" si="0"/>
        <v>33</v>
      </c>
      <c r="F36" s="38">
        <f>_xlfn.RANK.EQ(VLOOKUP(B36,智育素质!$B:$D,3,0),智育素质!$D:$D,0)</f>
        <v>31</v>
      </c>
    </row>
  </sheetData>
  <sortState xmlns:xlrd2="http://schemas.microsoft.com/office/spreadsheetml/2017/richdata2" ref="A2:F36">
    <sortCondition ref="B1:B36"/>
  </sortState>
  <phoneticPr fontId="7" type="noConversion"/>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38"/>
  <sheetViews>
    <sheetView workbookViewId="0">
      <pane xSplit="2" ySplit="3" topLeftCell="C4" activePane="bottomRight" state="frozen"/>
      <selection pane="topRight"/>
      <selection pane="bottomLeft"/>
      <selection pane="bottomRight" activeCell="U35" sqref="U35"/>
    </sheetView>
  </sheetViews>
  <sheetFormatPr defaultColWidth="9.19921875" defaultRowHeight="13.5" x14ac:dyDescent="0.3"/>
  <cols>
    <col min="1" max="1" width="16.9296875" style="12" bestFit="1" customWidth="1"/>
    <col min="2" max="2" width="14.1328125" style="12" customWidth="1"/>
    <col min="3" max="3" width="6.86328125" style="12" bestFit="1" customWidth="1"/>
    <col min="4" max="4" width="15.9296875" style="28" customWidth="1"/>
    <col min="5" max="5" width="17.1328125" style="28" customWidth="1"/>
    <col min="6" max="6" width="15.9296875" style="28" customWidth="1"/>
    <col min="7" max="8" width="13.86328125" style="28" customWidth="1"/>
    <col min="9" max="9" width="5.6640625" style="28" customWidth="1"/>
    <col min="10" max="10" width="15.9296875" style="28" customWidth="1"/>
    <col min="11" max="11" width="16.73046875" style="28" customWidth="1"/>
    <col min="12" max="12" width="14.796875" style="28" customWidth="1"/>
    <col min="13" max="13" width="20.19921875" style="28" customWidth="1"/>
    <col min="14" max="15" width="11.73046875" style="28" customWidth="1"/>
    <col min="16" max="16" width="9.33203125" style="28" bestFit="1" customWidth="1"/>
    <col min="17" max="17" width="15.9296875" style="28" customWidth="1"/>
    <col min="18" max="18" width="18.06640625" style="28" customWidth="1"/>
    <col min="19" max="19" width="20.19921875" style="28" customWidth="1"/>
    <col min="20" max="20" width="15.9296875" style="28" customWidth="1"/>
    <col min="21" max="21" width="9.3984375" style="28" customWidth="1"/>
    <col min="22" max="22" width="10.19921875" style="28" customWidth="1"/>
    <col min="23" max="23" width="8.3984375" style="28" bestFit="1" customWidth="1"/>
    <col min="24" max="24" width="9.33203125" style="28" bestFit="1" customWidth="1"/>
    <col min="25" max="25" width="9.3984375" style="28" customWidth="1"/>
    <col min="26" max="26" width="15.9296875" style="28" customWidth="1"/>
    <col min="27" max="27" width="13.86328125" style="28" customWidth="1"/>
    <col min="28" max="29" width="9.3984375" style="28" customWidth="1"/>
    <col min="30" max="30" width="7.33203125" style="28" customWidth="1"/>
    <col min="31" max="31" width="22.46484375" style="28" customWidth="1"/>
    <col min="32" max="32" width="15.9296875" style="28" customWidth="1"/>
    <col min="33" max="16384" width="9.19921875" style="12"/>
  </cols>
  <sheetData>
    <row r="1" spans="1:32" s="11" customFormat="1" ht="40.049999999999997" customHeight="1" x14ac:dyDescent="0.3">
      <c r="A1" s="45" t="s">
        <v>0</v>
      </c>
      <c r="B1" s="46" t="s">
        <v>1</v>
      </c>
      <c r="C1" s="46" t="s">
        <v>2</v>
      </c>
      <c r="D1" s="48" t="s">
        <v>6</v>
      </c>
      <c r="E1" s="48"/>
      <c r="F1" s="48"/>
      <c r="G1" s="48"/>
      <c r="H1" s="48"/>
      <c r="I1" s="48"/>
      <c r="J1" s="48"/>
      <c r="K1" s="48" t="s">
        <v>7</v>
      </c>
      <c r="L1" s="48" t="s">
        <v>8</v>
      </c>
      <c r="M1" s="48"/>
      <c r="N1" s="48"/>
      <c r="O1" s="48"/>
      <c r="P1" s="48"/>
      <c r="Q1" s="48"/>
      <c r="R1" s="49" t="s">
        <v>9</v>
      </c>
      <c r="S1" s="49"/>
      <c r="T1" s="49"/>
      <c r="U1" s="48" t="s">
        <v>10</v>
      </c>
      <c r="V1" s="48"/>
      <c r="W1" s="48"/>
      <c r="X1" s="48"/>
      <c r="Y1" s="48"/>
      <c r="Z1" s="48"/>
      <c r="AA1" s="49" t="s">
        <v>11</v>
      </c>
      <c r="AB1" s="49"/>
      <c r="AC1" s="49"/>
      <c r="AD1" s="49"/>
      <c r="AE1" s="49"/>
      <c r="AF1" s="41" t="s">
        <v>12</v>
      </c>
    </row>
    <row r="2" spans="1:32" s="11" customFormat="1" ht="40.049999999999997" customHeight="1" x14ac:dyDescent="0.3">
      <c r="A2" s="45"/>
      <c r="B2" s="46"/>
      <c r="C2" s="46"/>
      <c r="D2" s="47" t="s">
        <v>13</v>
      </c>
      <c r="E2" s="50" t="s">
        <v>14</v>
      </c>
      <c r="F2" s="50"/>
      <c r="G2" s="50"/>
      <c r="H2" s="50"/>
      <c r="I2" s="50"/>
      <c r="J2" s="47" t="s">
        <v>15</v>
      </c>
      <c r="K2" s="48"/>
      <c r="L2" s="50" t="s">
        <v>16</v>
      </c>
      <c r="M2" s="50" t="s">
        <v>17</v>
      </c>
      <c r="N2" s="50"/>
      <c r="O2" s="50"/>
      <c r="P2" s="50"/>
      <c r="Q2" s="50" t="s">
        <v>18</v>
      </c>
      <c r="R2" s="44" t="s">
        <v>19</v>
      </c>
      <c r="S2" s="51" t="s">
        <v>20</v>
      </c>
      <c r="T2" s="44" t="s">
        <v>21</v>
      </c>
      <c r="U2" s="53" t="s">
        <v>125</v>
      </c>
      <c r="V2" s="44" t="s">
        <v>22</v>
      </c>
      <c r="W2" s="44"/>
      <c r="X2" s="44"/>
      <c r="Y2" s="42" t="s">
        <v>23</v>
      </c>
      <c r="Z2" s="44" t="s">
        <v>24</v>
      </c>
      <c r="AA2" s="42" t="s">
        <v>25</v>
      </c>
      <c r="AB2" s="42" t="s">
        <v>26</v>
      </c>
      <c r="AC2" s="42" t="s">
        <v>27</v>
      </c>
      <c r="AD2" s="53" t="s">
        <v>28</v>
      </c>
      <c r="AE2" s="44" t="s">
        <v>29</v>
      </c>
      <c r="AF2" s="41"/>
    </row>
    <row r="3" spans="1:32" s="11" customFormat="1" ht="40.049999999999997" customHeight="1" x14ac:dyDescent="0.3">
      <c r="A3" s="45"/>
      <c r="B3" s="46"/>
      <c r="C3" s="46"/>
      <c r="D3" s="47"/>
      <c r="E3" s="29" t="s">
        <v>30</v>
      </c>
      <c r="F3" s="27" t="s">
        <v>31</v>
      </c>
      <c r="G3" s="3" t="s">
        <v>32</v>
      </c>
      <c r="H3" s="3" t="s">
        <v>33</v>
      </c>
      <c r="I3" s="3" t="s">
        <v>3</v>
      </c>
      <c r="J3" s="47"/>
      <c r="K3" s="48"/>
      <c r="L3" s="50"/>
      <c r="M3" s="30" t="s">
        <v>34</v>
      </c>
      <c r="N3" s="30" t="s">
        <v>35</v>
      </c>
      <c r="O3" s="30" t="s">
        <v>36</v>
      </c>
      <c r="P3" s="30" t="s">
        <v>3</v>
      </c>
      <c r="Q3" s="50"/>
      <c r="R3" s="44"/>
      <c r="S3" s="52"/>
      <c r="T3" s="44"/>
      <c r="U3" s="54"/>
      <c r="V3" s="27" t="s">
        <v>37</v>
      </c>
      <c r="W3" s="27" t="s">
        <v>38</v>
      </c>
      <c r="X3" s="27" t="s">
        <v>39</v>
      </c>
      <c r="Y3" s="43"/>
      <c r="Z3" s="44"/>
      <c r="AA3" s="43"/>
      <c r="AB3" s="43"/>
      <c r="AC3" s="43"/>
      <c r="AD3" s="54"/>
      <c r="AE3" s="44"/>
      <c r="AF3" s="41"/>
    </row>
    <row r="4" spans="1:32" x14ac:dyDescent="0.3">
      <c r="A4" s="10" t="s">
        <v>59</v>
      </c>
      <c r="B4" s="10" t="s">
        <v>61</v>
      </c>
      <c r="C4" s="10"/>
      <c r="D4" s="6">
        <f>SUMIFS(德育素质!H:H,德育素质!B:B,B4,德育素质!D:D,"=基本评定分")</f>
        <v>6</v>
      </c>
      <c r="E4" s="6">
        <f>MIN(2,SUMIFS(德育素质!H:H,德育素质!A:A,A4,德育素质!D:D,"=集体评定等级分",德育素质!E:E,"=班级考评等级")+SUMIFS(德育素质!H:H,德育素质!B:B,B4,德育素质!D:D,"=集体评定等级分"))</f>
        <v>1</v>
      </c>
      <c r="F4" s="6">
        <f>MIN(2,SUMIFS(德育素质!H:H,德育素质!B:B,B4,德育素质!D:D,"=社会责任记实分"))</f>
        <v>0</v>
      </c>
      <c r="G4" s="6">
        <f>SUMIFS(德育素质!H:H,德育素质!B:B,B4,德育素质!D:D,"=违纪违规扣分")</f>
        <v>0</v>
      </c>
      <c r="H4" s="6">
        <f>SUMIFS(德育素质!H:H,德育素质!B:B,B4,德育素质!D:D,"=荣誉称号加分")</f>
        <v>0</v>
      </c>
      <c r="I4" s="6">
        <f t="shared" ref="I4:I38" si="0">MIN(4,E4+F4+G4+H4)</f>
        <v>1</v>
      </c>
      <c r="J4" s="6">
        <f t="shared" ref="J4:J38" si="1">D4+I4</f>
        <v>7</v>
      </c>
      <c r="K4" s="6">
        <f>(VLOOKUP(B4,智育素质!B:D,3,0)*10+50)*0.6</f>
        <v>52.884</v>
      </c>
      <c r="L4" s="6">
        <f>SUMIFS(体育素质!J:J,体育素质!B:B,B4,体育素质!D:D,"=体育课程成绩",体育素质!E:E,"=体育成绩")/40</f>
        <v>4.4350000000000005</v>
      </c>
      <c r="M4" s="6">
        <f>SUMIFS(体育素质!L:L,体育素质!B:B,B4,体育素质!D:D,"=校内外体育竞赛")</f>
        <v>1</v>
      </c>
      <c r="N4" s="6">
        <f>SUMIFS(体育素质!L:L,体育素质!B:B,B4,体育素质!D:D,"=校内外体育活动",体育素质!E:E,"=早锻炼")</f>
        <v>0</v>
      </c>
      <c r="O4" s="6">
        <f>SUMIFS(体育素质!L:L,体育素质!B:B,B4,体育素质!D:D,"=校内外体育活动",体育素质!E:E,"=校园跑")</f>
        <v>1</v>
      </c>
      <c r="P4" s="6">
        <f t="shared" ref="P4:P38" si="2">MIN(3,M4+N4+O4)</f>
        <v>2</v>
      </c>
      <c r="Q4" s="6">
        <f t="shared" ref="Q4:Q38" si="3">MIN(8,P4+L4)</f>
        <v>6.4350000000000005</v>
      </c>
      <c r="R4" s="6">
        <f>MIN(0.5,SUMIFS(美育素质!L:L,美育素质!B:B,B4,美育素质!D:D,"=文化艺术实践"))</f>
        <v>0</v>
      </c>
      <c r="S4" s="6">
        <f>SUMIFS(美育素质!L:L,美育素质!B:B,B4,美育素质!D:D,"=校内外文化艺术竞赛")</f>
        <v>0</v>
      </c>
      <c r="T4" s="6">
        <f t="shared" ref="T4:T38" si="4">MIN(5,S4+R4)</f>
        <v>0</v>
      </c>
      <c r="U4" s="6">
        <f>MAX(1.21,SUMIFS(劳育素质!K:K,劳育素质!B:B,B4,劳育素质!D:D,"=劳动日常考核基础分")+SUMIFS(劳育素质!K:K,劳育素质!B:B,B4,劳育素质!D:D,"=活动与卫生加减分"))</f>
        <v>1.4197333333333331</v>
      </c>
      <c r="V4" s="6">
        <f>SUMIFS(劳育素质!K:K,劳育素质!B:B,B4,劳育素质!D:D,"=志愿服务",劳育素质!F:F,"=A类+B类")</f>
        <v>3</v>
      </c>
      <c r="W4" s="6">
        <f>SUMIFS(劳育素质!K:K,劳育素质!B:B,B4,劳育素质!D:D,"=志愿服务",劳育素质!F:F,"=C类")</f>
        <v>0</v>
      </c>
      <c r="X4" s="6">
        <f t="shared" ref="X4:X38" si="5">MIN(4,V4+W4)</f>
        <v>3</v>
      </c>
      <c r="Y4" s="6">
        <f>SUMIFS(劳育素质!K:K,劳育素质!B:B,B4,劳育素质!D:D,"=实习实训")</f>
        <v>0</v>
      </c>
      <c r="Z4" s="6">
        <f t="shared" ref="Z4:Z38" si="6">MIN(5,U4+X4+Y4)</f>
        <v>4.4197333333333333</v>
      </c>
      <c r="AA4" s="6">
        <f>SUMIFS(创新与实践素质!L:L,创新与实践素质!B:B,B4,创新与实践素质!D:D,"=创新创业素质")</f>
        <v>4.05</v>
      </c>
      <c r="AB4" s="6">
        <f>SUMIFS(创新与实践素质!L:L,创新与实践素质!B:B,B4,创新与实践素质!D:D,"=水平考试")</f>
        <v>0</v>
      </c>
      <c r="AC4" s="6">
        <f>SUMIFS(创新与实践素质!L:L,创新与实践素质!B:B,B4,创新与实践素质!D:D,"=社会实践")</f>
        <v>0</v>
      </c>
      <c r="AD4" s="6">
        <f>_xlfn.MAXIFS(创新与实践素质!L:L,创新与实践素质!B:B,B4,创新与实践素质!D:D,"=社会工作能力（工作表现）",创新与实践素质!G:G,"=上学期")+_xlfn.MAXIFS(创新与实践素质!L:L,创新与实践素质!B:B,B4,创新与实践素质!D:D,"=社会工作能力（工作表现）",创新与实践素质!G:G,"=下学期")</f>
        <v>0.5</v>
      </c>
      <c r="AE4" s="6">
        <f t="shared" ref="AE4:AE38" si="7">MIN(12,AA4+AB4+AC4+AD4)</f>
        <v>4.55</v>
      </c>
      <c r="AF4" s="6">
        <f t="shared" ref="AF4:AF38" si="8">AE4+Z4+T4+Q4+K4+J4</f>
        <v>75.28873333333334</v>
      </c>
    </row>
    <row r="5" spans="1:32" x14ac:dyDescent="0.3">
      <c r="A5" s="10" t="s">
        <v>59</v>
      </c>
      <c r="B5" s="10" t="s">
        <v>63</v>
      </c>
      <c r="C5" s="10"/>
      <c r="D5" s="6">
        <f>SUMIFS(德育素质!H:H,德育素质!B:B,B5,德育素质!D:D,"=基本评定分")</f>
        <v>5.28</v>
      </c>
      <c r="E5" s="6">
        <f>MIN(2,SUMIFS(德育素质!H:H,德育素质!A:A,A5,德育素质!D:D,"=集体评定等级分",德育素质!E:E,"=班级考评等级")+SUMIFS(德育素质!H:H,德育素质!B:B,B5,德育素质!D:D,"=集体评定等级分"))</f>
        <v>1</v>
      </c>
      <c r="F5" s="6">
        <f>MIN(2,SUMIFS(德育素质!H:H,德育素质!B:B,B5,德育素质!D:D,"=社会责任记实分"))</f>
        <v>0.1</v>
      </c>
      <c r="G5" s="6">
        <f>SUMIFS(德育素质!H:H,德育素质!B:B,B5,德育素质!D:D,"=违纪违规扣分")</f>
        <v>0</v>
      </c>
      <c r="H5" s="6">
        <f>SUMIFS(德育素质!H:H,德育素质!B:B,B5,德育素质!D:D,"=荣誉称号加分")</f>
        <v>0.375</v>
      </c>
      <c r="I5" s="6">
        <f t="shared" si="0"/>
        <v>1.4750000000000001</v>
      </c>
      <c r="J5" s="6">
        <f t="shared" si="1"/>
        <v>6.7550000000000008</v>
      </c>
      <c r="K5" s="6">
        <f>(VLOOKUP(B5,智育素质!B:D,3,0)*10+50)*0.6</f>
        <v>51.576000000000001</v>
      </c>
      <c r="L5" s="6">
        <f>SUMIFS(体育素质!J:J,体育素质!B:B,B5,体育素质!D:D,"=体育课程成绩",体育素质!E:E,"=体育成绩")/40</f>
        <v>4.4450000000000003</v>
      </c>
      <c r="M5" s="6">
        <f>SUMIFS(体育素质!L:L,体育素质!B:B,B5,体育素质!D:D,"=校内外体育竞赛")</f>
        <v>0</v>
      </c>
      <c r="N5" s="6">
        <f>SUMIFS(体育素质!L:L,体育素质!B:B,B5,体育素质!D:D,"=校内外体育活动",体育素质!E:E,"=早锻炼")</f>
        <v>0</v>
      </c>
      <c r="O5" s="6">
        <f>SUMIFS(体育素质!L:L,体育素质!B:B,B5,体育素质!D:D,"=校内外体育活动",体育素质!E:E,"=校园跑")</f>
        <v>1</v>
      </c>
      <c r="P5" s="6">
        <f t="shared" si="2"/>
        <v>1</v>
      </c>
      <c r="Q5" s="6">
        <f t="shared" si="3"/>
        <v>5.4450000000000003</v>
      </c>
      <c r="R5" s="6">
        <f>MIN(0.5,SUMIFS(美育素质!L:L,美育素质!B:B,B5,美育素质!D:D,"=文化艺术实践"))</f>
        <v>0</v>
      </c>
      <c r="S5" s="6">
        <f>SUMIFS(美育素质!L:L,美育素质!B:B,B5,美育素质!D:D,"=校内外文化艺术竞赛")</f>
        <v>0.125</v>
      </c>
      <c r="T5" s="6">
        <f t="shared" si="4"/>
        <v>0.125</v>
      </c>
      <c r="U5" s="6">
        <f>MAX(1.21,SUMIFS(劳育素质!K:K,劳育素质!B:B,B5,劳育素质!D:D,"=劳动日常考核基础分")+SUMIFS(劳育素质!K:K,劳育素质!B:B,B5,劳育素质!D:D,"=活动与卫生加减分"))</f>
        <v>1.541733333333333</v>
      </c>
      <c r="V5" s="6">
        <f>SUMIFS(劳育素质!K:K,劳育素质!B:B,B5,劳育素质!D:D,"=志愿服务",劳育素质!F:F,"=A类+B类")</f>
        <v>2.5</v>
      </c>
      <c r="W5" s="6">
        <f>SUMIFS(劳育素质!K:K,劳育素质!B:B,B5,劳育素质!D:D,"=志愿服务",劳育素质!F:F,"=C类")</f>
        <v>0</v>
      </c>
      <c r="X5" s="6">
        <f t="shared" si="5"/>
        <v>2.5</v>
      </c>
      <c r="Y5" s="6">
        <f>SUMIFS(劳育素质!K:K,劳育素质!B:B,B5,劳育素质!D:D,"=实习实训")</f>
        <v>0</v>
      </c>
      <c r="Z5" s="6">
        <f t="shared" si="6"/>
        <v>4.0417333333333332</v>
      </c>
      <c r="AA5" s="6">
        <f>SUMIFS(创新与实践素质!L:L,创新与实践素质!B:B,B5,创新与实践素质!D:D,"=创新创业素质")</f>
        <v>0</v>
      </c>
      <c r="AB5" s="6">
        <f>SUMIFS(创新与实践素质!L:L,创新与实践素质!B:B,B5,创新与实践素质!D:D,"=水平考试")</f>
        <v>0</v>
      </c>
      <c r="AC5" s="6">
        <f>SUMIFS(创新与实践素质!L:L,创新与实践素质!B:B,B5,创新与实践素质!D:D,"=社会实践")</f>
        <v>0.75</v>
      </c>
      <c r="AD5" s="6">
        <f>_xlfn.MAXIFS(创新与实践素质!L:L,创新与实践素质!B:B,B5,创新与实践素质!D:D,"=社会工作能力（工作表现）",创新与实践素质!G:G,"=上学期")+_xlfn.MAXIFS(创新与实践素质!L:L,创新与实践素质!B:B,B5,创新与实践素质!D:D,"=社会工作能力（工作表现）",创新与实践素质!G:G,"=下学期")</f>
        <v>1.2</v>
      </c>
      <c r="AE5" s="6">
        <f t="shared" si="7"/>
        <v>1.95</v>
      </c>
      <c r="AF5" s="6">
        <f t="shared" si="8"/>
        <v>69.892733333333325</v>
      </c>
    </row>
    <row r="6" spans="1:32" x14ac:dyDescent="0.3">
      <c r="A6" s="10" t="s">
        <v>59</v>
      </c>
      <c r="B6" s="10" t="s">
        <v>64</v>
      </c>
      <c r="C6" s="10"/>
      <c r="D6" s="6">
        <f>SUMIFS(德育素质!H:H,德育素质!B:B,B6,德育素质!D:D,"=基本评定分")</f>
        <v>5.28</v>
      </c>
      <c r="E6" s="6">
        <f>MIN(2,SUMIFS(德育素质!H:H,德育素质!A:A,A6,德育素质!D:D,"=集体评定等级分",德育素质!E:E,"=班级考评等级")+SUMIFS(德育素质!H:H,德育素质!B:B,B6,德育素质!D:D,"=集体评定等级分"))</f>
        <v>1</v>
      </c>
      <c r="F6" s="6">
        <f>MIN(2,SUMIFS(德育素质!H:H,德育素质!B:B,B6,德育素质!D:D,"=社会责任记实分"))</f>
        <v>0.2</v>
      </c>
      <c r="G6" s="6">
        <f>SUMIFS(德育素质!H:H,德育素质!B:B,B6,德育素质!D:D,"=违纪违规扣分")</f>
        <v>0</v>
      </c>
      <c r="H6" s="6">
        <f>SUMIFS(德育素质!H:H,德育素质!B:B,B6,德育素质!D:D,"=荣誉称号加分")</f>
        <v>0.875</v>
      </c>
      <c r="I6" s="6">
        <f t="shared" si="0"/>
        <v>2.0750000000000002</v>
      </c>
      <c r="J6" s="6">
        <f t="shared" si="1"/>
        <v>7.3550000000000004</v>
      </c>
      <c r="K6" s="6">
        <f>(VLOOKUP(B6,智育素质!B:D,3,0)*10+50)*0.6</f>
        <v>53.363999999999997</v>
      </c>
      <c r="L6" s="6">
        <f>SUMIFS(体育素质!J:J,体育素质!B:B,B6,体育素质!D:D,"=体育课程成绩",体育素质!E:E,"=体育成绩")/40</f>
        <v>4.7249999999999996</v>
      </c>
      <c r="M6" s="6">
        <f>SUMIFS(体育素质!L:L,体育素质!B:B,B6,体育素质!D:D,"=校内外体育竞赛")</f>
        <v>2</v>
      </c>
      <c r="N6" s="6">
        <f>SUMIFS(体育素质!L:L,体育素质!B:B,B6,体育素质!D:D,"=校内外体育活动",体育素质!E:E,"=早锻炼")</f>
        <v>0</v>
      </c>
      <c r="O6" s="6">
        <f>SUMIFS(体育素质!L:L,体育素质!B:B,B6,体育素质!D:D,"=校内外体育活动",体育素质!E:E,"=校园跑")</f>
        <v>1</v>
      </c>
      <c r="P6" s="6">
        <f t="shared" si="2"/>
        <v>3</v>
      </c>
      <c r="Q6" s="6">
        <f t="shared" si="3"/>
        <v>7.7249999999999996</v>
      </c>
      <c r="R6" s="6">
        <f>MIN(0.5,SUMIFS(美育素质!L:L,美育素质!B:B,B6,美育素质!D:D,"=文化艺术实践"))</f>
        <v>0</v>
      </c>
      <c r="S6" s="6">
        <f>SUMIFS(美育素质!L:L,美育素质!B:B,B6,美育素质!D:D,"=校内外文化艺术竞赛")</f>
        <v>0.2</v>
      </c>
      <c r="T6" s="6">
        <f t="shared" si="4"/>
        <v>0.2</v>
      </c>
      <c r="U6" s="6">
        <f>MAX(1.21,SUMIFS(劳育素质!K:K,劳育素质!B:B,B6,劳育素质!D:D,"=劳动日常考核基础分")+SUMIFS(劳育素质!K:K,劳育素质!B:B,B6,劳育素质!D:D,"=活动与卫生加减分"))</f>
        <v>1.5276000000000001</v>
      </c>
      <c r="V6" s="6">
        <f>SUMIFS(劳育素质!K:K,劳育素质!B:B,B6,劳育素质!D:D,"=志愿服务",劳育素质!F:F,"=A类+B类")</f>
        <v>3</v>
      </c>
      <c r="W6" s="6">
        <f>SUMIFS(劳育素质!K:K,劳育素质!B:B,B6,劳育素质!D:D,"=志愿服务",劳育素质!F:F,"=C类")</f>
        <v>0</v>
      </c>
      <c r="X6" s="6">
        <f t="shared" si="5"/>
        <v>3</v>
      </c>
      <c r="Y6" s="6">
        <f>SUMIFS(劳育素质!K:K,劳育素质!B:B,B6,劳育素质!D:D,"=实习实训")</f>
        <v>0</v>
      </c>
      <c r="Z6" s="6">
        <f t="shared" si="6"/>
        <v>4.5275999999999996</v>
      </c>
      <c r="AA6" s="6">
        <f>SUMIFS(创新与实践素质!L:L,创新与实践素质!B:B,B6,创新与实践素质!D:D,"=创新创业素质")</f>
        <v>0</v>
      </c>
      <c r="AB6" s="6">
        <f>SUMIFS(创新与实践素质!L:L,创新与实践素质!B:B,B6,创新与实践素质!D:D,"=水平考试")</f>
        <v>1.7666666666666666</v>
      </c>
      <c r="AC6" s="6">
        <f>SUMIFS(创新与实践素质!L:L,创新与实践素质!B:B,B6,创新与实践素质!D:D,"=社会实践")</f>
        <v>0.75</v>
      </c>
      <c r="AD6" s="6">
        <f>_xlfn.MAXIFS(创新与实践素质!L:L,创新与实践素质!B:B,B6,创新与实践素质!D:D,"=社会工作能力（工作表现）",创新与实践素质!G:G,"=上学期")+_xlfn.MAXIFS(创新与实践素质!L:L,创新与实践素质!B:B,B6,创新与实践素质!D:D,"=社会工作能力（工作表现）",创新与实践素质!G:G,"=下学期")</f>
        <v>1</v>
      </c>
      <c r="AE6" s="6">
        <f t="shared" si="7"/>
        <v>3.5166666666666666</v>
      </c>
      <c r="AF6" s="6">
        <f t="shared" si="8"/>
        <v>76.688266666666664</v>
      </c>
    </row>
    <row r="7" spans="1:32" x14ac:dyDescent="0.3">
      <c r="A7" s="10" t="s">
        <v>59</v>
      </c>
      <c r="B7" s="10" t="s">
        <v>65</v>
      </c>
      <c r="C7" s="10"/>
      <c r="D7" s="6">
        <f>SUMIFS(德育素质!H:H,德育素质!B:B,B7,德育素质!D:D,"=基本评定分")</f>
        <v>6</v>
      </c>
      <c r="E7" s="6">
        <f>MIN(2,SUMIFS(德育素质!H:H,德育素质!A:A,A7,德育素质!D:D,"=集体评定等级分",德育素质!E:E,"=班级考评等级")+SUMIFS(德育素质!H:H,德育素质!B:B,B7,德育素质!D:D,"=集体评定等级分"))</f>
        <v>1</v>
      </c>
      <c r="F7" s="6">
        <f>MIN(2,SUMIFS(德育素质!H:H,德育素质!B:B,B7,德育素质!D:D,"=社会责任记实分"))</f>
        <v>0.1</v>
      </c>
      <c r="G7" s="6">
        <f>SUMIFS(德育素质!H:H,德育素质!B:B,B7,德育素质!D:D,"=违纪违规扣分")</f>
        <v>0</v>
      </c>
      <c r="H7" s="6">
        <f>SUMIFS(德育素质!H:H,德育素质!B:B,B7,德育素质!D:D,"=荣誉称号加分")</f>
        <v>0</v>
      </c>
      <c r="I7" s="6">
        <f t="shared" si="0"/>
        <v>1.1000000000000001</v>
      </c>
      <c r="J7" s="6">
        <f t="shared" si="1"/>
        <v>7.1</v>
      </c>
      <c r="K7" s="6">
        <f>(VLOOKUP(B7,智育素质!B:D,3,0)*10+50)*0.6</f>
        <v>52.686</v>
      </c>
      <c r="L7" s="6">
        <f>SUMIFS(体育素质!J:J,体育素质!B:B,B7,体育素质!D:D,"=体育课程成绩",体育素质!E:E,"=体育成绩")/40</f>
        <v>3.44</v>
      </c>
      <c r="M7" s="6">
        <f>SUMIFS(体育素质!L:L,体育素质!B:B,B7,体育素质!D:D,"=校内外体育竞赛")</f>
        <v>0</v>
      </c>
      <c r="N7" s="6">
        <f>SUMIFS(体育素质!L:L,体育素质!B:B,B7,体育素质!D:D,"=校内外体育活动",体育素质!E:E,"=早锻炼")</f>
        <v>0</v>
      </c>
      <c r="O7" s="6">
        <f>SUMIFS(体育素质!L:L,体育素质!B:B,B7,体育素质!D:D,"=校内外体育活动",体育素质!E:E,"=校园跑")</f>
        <v>0.68760416666666668</v>
      </c>
      <c r="P7" s="6">
        <f t="shared" si="2"/>
        <v>0.68760416666666668</v>
      </c>
      <c r="Q7" s="6">
        <f t="shared" si="3"/>
        <v>4.127604166666667</v>
      </c>
      <c r="R7" s="6">
        <f>MIN(0.5,SUMIFS(美育素质!L:L,美育素质!B:B,B7,美育素质!D:D,"=文化艺术实践"))</f>
        <v>0</v>
      </c>
      <c r="S7" s="6">
        <f>SUMIFS(美育素质!L:L,美育素质!B:B,B7,美育素质!D:D,"=校内外文化艺术竞赛")</f>
        <v>0</v>
      </c>
      <c r="T7" s="6">
        <f t="shared" si="4"/>
        <v>0</v>
      </c>
      <c r="U7" s="6">
        <f>MAX(1.21,SUMIFS(劳育素质!K:K,劳育素质!B:B,B7,劳育素质!D:D,"=劳动日常考核基础分")+SUMIFS(劳育素质!K:K,劳育素质!B:B,B7,劳育素质!D:D,"=活动与卫生加减分"))</f>
        <v>1.394166666666667</v>
      </c>
      <c r="V7" s="6">
        <f>SUMIFS(劳育素质!K:K,劳育素质!B:B,B7,劳育素质!D:D,"=志愿服务",劳育素质!F:F,"=A类+B类")</f>
        <v>3</v>
      </c>
      <c r="W7" s="6">
        <f>SUMIFS(劳育素质!K:K,劳育素质!B:B,B7,劳育素质!D:D,"=志愿服务",劳育素质!F:F,"=C类")</f>
        <v>0</v>
      </c>
      <c r="X7" s="6">
        <f t="shared" si="5"/>
        <v>3</v>
      </c>
      <c r="Y7" s="6">
        <f>SUMIFS(劳育素质!K:K,劳育素质!B:B,B7,劳育素质!D:D,"=实习实训")</f>
        <v>0</v>
      </c>
      <c r="Z7" s="6">
        <f t="shared" si="6"/>
        <v>4.394166666666667</v>
      </c>
      <c r="AA7" s="6">
        <f>SUMIFS(创新与实践素质!L:L,创新与实践素质!B:B,B7,创新与实践素质!D:D,"=创新创业素质")</f>
        <v>0</v>
      </c>
      <c r="AB7" s="6">
        <f>SUMIFS(创新与实践素质!L:L,创新与实践素质!B:B,B7,创新与实践素质!D:D,"=水平考试")</f>
        <v>0</v>
      </c>
      <c r="AC7" s="6">
        <f>SUMIFS(创新与实践素质!L:L,创新与实践素质!B:B,B7,创新与实践素质!D:D,"=社会实践")</f>
        <v>0</v>
      </c>
      <c r="AD7" s="6">
        <f>_xlfn.MAXIFS(创新与实践素质!L:L,创新与实践素质!B:B,B7,创新与实践素质!D:D,"=社会工作能力（工作表现）",创新与实践素质!G:G,"=上学期")+_xlfn.MAXIFS(创新与实践素质!L:L,创新与实践素质!B:B,B7,创新与实践素质!D:D,"=社会工作能力（工作表现）",创新与实践素质!G:G,"=下学期")</f>
        <v>0</v>
      </c>
      <c r="AE7" s="6">
        <f t="shared" si="7"/>
        <v>0</v>
      </c>
      <c r="AF7" s="6">
        <f t="shared" si="8"/>
        <v>68.307770833333336</v>
      </c>
    </row>
    <row r="8" spans="1:32" x14ac:dyDescent="0.3">
      <c r="A8" s="10" t="s">
        <v>59</v>
      </c>
      <c r="B8" s="10" t="s">
        <v>66</v>
      </c>
      <c r="C8" s="10"/>
      <c r="D8" s="6">
        <f>SUMIFS(德育素质!H:H,德育素质!B:B,B8,德育素质!D:D,"=基本评定分")</f>
        <v>5.28</v>
      </c>
      <c r="E8" s="6">
        <f>MIN(2,SUMIFS(德育素质!H:H,德育素质!A:A,A8,德育素质!D:D,"=集体评定等级分",德育素质!E:E,"=班级考评等级")+SUMIFS(德育素质!H:H,德育素质!B:B,B8,德育素质!D:D,"=集体评定等级分"))</f>
        <v>1</v>
      </c>
      <c r="F8" s="6">
        <f>MIN(2,SUMIFS(德育素质!H:H,德育素质!B:B,B8,德育素质!D:D,"=社会责任记实分"))</f>
        <v>0</v>
      </c>
      <c r="G8" s="6">
        <f>SUMIFS(德育素质!H:H,德育素质!B:B,B8,德育素质!D:D,"=违纪违规扣分")</f>
        <v>0</v>
      </c>
      <c r="H8" s="6">
        <f>SUMIFS(德育素质!H:H,德育素质!B:B,B8,德育素质!D:D,"=荣誉称号加分")</f>
        <v>0</v>
      </c>
      <c r="I8" s="6">
        <f t="shared" si="0"/>
        <v>1</v>
      </c>
      <c r="J8" s="6">
        <f t="shared" si="1"/>
        <v>6.28</v>
      </c>
      <c r="K8" s="6">
        <f>(VLOOKUP(B8,智育素质!B:D,3,0)*10+50)*0.6</f>
        <v>52.337999999999994</v>
      </c>
      <c r="L8" s="6">
        <f>SUMIFS(体育素质!J:J,体育素质!B:B,B8,体育素质!D:D,"=体育课程成绩",体育素质!E:E,"=体育成绩")/40</f>
        <v>3.53</v>
      </c>
      <c r="M8" s="6">
        <f>SUMIFS(体育素质!L:L,体育素质!B:B,B8,体育素质!D:D,"=校内外体育竞赛")</f>
        <v>0</v>
      </c>
      <c r="N8" s="6">
        <f>SUMIFS(体育素质!L:L,体育素质!B:B,B8,体育素质!D:D,"=校内外体育活动",体育素质!E:E,"=早锻炼")</f>
        <v>0</v>
      </c>
      <c r="O8" s="6">
        <f>SUMIFS(体育素质!L:L,体育素质!B:B,B8,体育素质!D:D,"=校内外体育活动",体育素质!E:E,"=校园跑")</f>
        <v>0.67612500000000009</v>
      </c>
      <c r="P8" s="6">
        <f t="shared" si="2"/>
        <v>0.67612500000000009</v>
      </c>
      <c r="Q8" s="6">
        <f t="shared" si="3"/>
        <v>4.2061250000000001</v>
      </c>
      <c r="R8" s="6">
        <f>MIN(0.5,SUMIFS(美育素质!L:L,美育素质!B:B,B8,美育素质!D:D,"=文化艺术实践"))</f>
        <v>0</v>
      </c>
      <c r="S8" s="6">
        <f>SUMIFS(美育素质!L:L,美育素质!B:B,B8,美育素质!D:D,"=校内外文化艺术竞赛")</f>
        <v>0</v>
      </c>
      <c r="T8" s="6">
        <f t="shared" si="4"/>
        <v>0</v>
      </c>
      <c r="U8" s="6">
        <f>MAX(1.21,SUMIFS(劳育素质!K:K,劳育素质!B:B,B8,劳育素质!D:D,"=劳动日常考核基础分")+SUMIFS(劳育素质!K:K,劳育素质!B:B,B8,劳育素质!D:D,"=活动与卫生加减分"))</f>
        <v>1.490277777777778</v>
      </c>
      <c r="V8" s="6">
        <f>SUMIFS(劳育素质!K:K,劳育素质!B:B,B8,劳育素质!D:D,"=志愿服务",劳育素质!F:F,"=A类+B类")</f>
        <v>0</v>
      </c>
      <c r="W8" s="6">
        <f>SUMIFS(劳育素质!K:K,劳育素质!B:B,B8,劳育素质!D:D,"=志愿服务",劳育素质!F:F,"=C类")</f>
        <v>0</v>
      </c>
      <c r="X8" s="6">
        <f t="shared" si="5"/>
        <v>0</v>
      </c>
      <c r="Y8" s="6">
        <f>SUMIFS(劳育素质!K:K,劳育素质!B:B,B8,劳育素质!D:D,"=实习实训")</f>
        <v>0</v>
      </c>
      <c r="Z8" s="6">
        <f t="shared" si="6"/>
        <v>1.490277777777778</v>
      </c>
      <c r="AA8" s="6">
        <f>SUMIFS(创新与实践素质!L:L,创新与实践素质!B:B,B8,创新与实践素质!D:D,"=创新创业素质")</f>
        <v>0</v>
      </c>
      <c r="AB8" s="6">
        <f>SUMIFS(创新与实践素质!L:L,创新与实践素质!B:B,B8,创新与实践素质!D:D,"=水平考试")</f>
        <v>0</v>
      </c>
      <c r="AC8" s="6">
        <f>SUMIFS(创新与实践素质!L:L,创新与实践素质!B:B,B8,创新与实践素质!D:D,"=社会实践")</f>
        <v>0</v>
      </c>
      <c r="AD8" s="6">
        <f>_xlfn.MAXIFS(创新与实践素质!L:L,创新与实践素质!B:B,B8,创新与实践素质!D:D,"=社会工作能力（工作表现）",创新与实践素质!G:G,"=上学期")+_xlfn.MAXIFS(创新与实践素质!L:L,创新与实践素质!B:B,B8,创新与实践素质!D:D,"=社会工作能力（工作表现）",创新与实践素质!G:G,"=下学期")</f>
        <v>0</v>
      </c>
      <c r="AE8" s="6">
        <f t="shared" si="7"/>
        <v>0</v>
      </c>
      <c r="AF8" s="6">
        <f t="shared" si="8"/>
        <v>64.314402777777772</v>
      </c>
    </row>
    <row r="9" spans="1:32" x14ac:dyDescent="0.3">
      <c r="A9" s="10" t="s">
        <v>59</v>
      </c>
      <c r="B9" s="10" t="s">
        <v>67</v>
      </c>
      <c r="C9" s="10"/>
      <c r="D9" s="6">
        <f>SUMIFS(德育素质!H:H,德育素质!B:B,B9,德育素质!D:D,"=基本评定分")</f>
        <v>6</v>
      </c>
      <c r="E9" s="6">
        <f>MIN(2,SUMIFS(德育素质!H:H,德育素质!A:A,A9,德育素质!D:D,"=集体评定等级分",德育素质!E:E,"=班级考评等级")+SUMIFS(德育素质!H:H,德育素质!B:B,B9,德育素质!D:D,"=集体评定等级分"))</f>
        <v>1</v>
      </c>
      <c r="F9" s="6">
        <f>MIN(2,SUMIFS(德育素质!H:H,德育素质!B:B,B9,德育素质!D:D,"=社会责任记实分"))</f>
        <v>0</v>
      </c>
      <c r="G9" s="6">
        <f>SUMIFS(德育素质!H:H,德育素质!B:B,B9,德育素质!D:D,"=违纪违规扣分")</f>
        <v>0</v>
      </c>
      <c r="H9" s="6">
        <f>SUMIFS(德育素质!H:H,德育素质!B:B,B9,德育素质!D:D,"=荣誉称号加分")</f>
        <v>0</v>
      </c>
      <c r="I9" s="6">
        <f t="shared" si="0"/>
        <v>1</v>
      </c>
      <c r="J9" s="6">
        <f t="shared" si="1"/>
        <v>7</v>
      </c>
      <c r="K9" s="6">
        <f>(VLOOKUP(B9,智育素质!B:D,3,0)*10+50)*0.6</f>
        <v>51.521999999999998</v>
      </c>
      <c r="L9" s="6">
        <f>SUMIFS(体育素质!J:J,体育素质!B:B,B9,体育素质!D:D,"=体育课程成绩",体育素质!E:E,"=体育成绩")/40</f>
        <v>4.3899999999999997</v>
      </c>
      <c r="M9" s="6">
        <f>SUMIFS(体育素质!L:L,体育素质!B:B,B9,体育素质!D:D,"=校内外体育竞赛")</f>
        <v>2.125</v>
      </c>
      <c r="N9" s="6">
        <f>SUMIFS(体育素质!L:L,体育素质!B:B,B9,体育素质!D:D,"=校内外体育活动",体育素质!E:E,"=早锻炼")</f>
        <v>0</v>
      </c>
      <c r="O9" s="6">
        <f>SUMIFS(体育素质!L:L,体育素质!B:B,B9,体育素质!D:D,"=校内外体育活动",体育素质!E:E,"=校园跑")</f>
        <v>1</v>
      </c>
      <c r="P9" s="6">
        <f t="shared" si="2"/>
        <v>3</v>
      </c>
      <c r="Q9" s="6">
        <f t="shared" si="3"/>
        <v>7.39</v>
      </c>
      <c r="R9" s="6">
        <f>MIN(0.5,SUMIFS(美育素质!L:L,美育素质!B:B,B9,美育素质!D:D,"=文化艺术实践"))</f>
        <v>0</v>
      </c>
      <c r="S9" s="6">
        <f>SUMIFS(美育素质!L:L,美育素质!B:B,B9,美育素质!D:D,"=校内外文化艺术竞赛")</f>
        <v>0</v>
      </c>
      <c r="T9" s="6">
        <f t="shared" si="4"/>
        <v>0</v>
      </c>
      <c r="U9" s="6">
        <f>MAX(1.21,SUMIFS(劳育素质!K:K,劳育素质!B:B,B9,劳育素质!D:D,"=劳动日常考核基础分")+SUMIFS(劳育素质!K:K,劳育素质!B:B,B9,劳育素质!D:D,"=活动与卫生加减分"))</f>
        <v>1.4293333333333329</v>
      </c>
      <c r="V9" s="6">
        <f>SUMIFS(劳育素质!K:K,劳育素质!B:B,B9,劳育素质!D:D,"=志愿服务",劳育素质!F:F,"=A类+B类")</f>
        <v>0</v>
      </c>
      <c r="W9" s="6">
        <f>SUMIFS(劳育素质!K:K,劳育素质!B:B,B9,劳育素质!D:D,"=志愿服务",劳育素质!F:F,"=C类")</f>
        <v>0</v>
      </c>
      <c r="X9" s="6">
        <f t="shared" si="5"/>
        <v>0</v>
      </c>
      <c r="Y9" s="6">
        <f>SUMIFS(劳育素质!K:K,劳育素质!B:B,B9,劳育素质!D:D,"=实习实训")</f>
        <v>0</v>
      </c>
      <c r="Z9" s="6">
        <f t="shared" si="6"/>
        <v>1.4293333333333329</v>
      </c>
      <c r="AA9" s="6">
        <f>SUMIFS(创新与实践素质!L:L,创新与实践素质!B:B,B9,创新与实践素质!D:D,"=创新创业素质")</f>
        <v>4.95</v>
      </c>
      <c r="AB9" s="6">
        <f>SUMIFS(创新与实践素质!L:L,创新与实践素质!B:B,B9,创新与实践素质!D:D,"=水平考试")</f>
        <v>0</v>
      </c>
      <c r="AC9" s="6">
        <f>SUMIFS(创新与实践素质!L:L,创新与实践素质!B:B,B9,创新与实践素质!D:D,"=社会实践")</f>
        <v>0</v>
      </c>
      <c r="AD9" s="6">
        <f>_xlfn.MAXIFS(创新与实践素质!L:L,创新与实践素质!B:B,B9,创新与实践素质!D:D,"=社会工作能力（工作表现）",创新与实践素质!G:G,"=上学期")+_xlfn.MAXIFS(创新与实践素质!L:L,创新与实践素质!B:B,B9,创新与实践素质!D:D,"=社会工作能力（工作表现）",创新与实践素质!G:G,"=下学期")</f>
        <v>0</v>
      </c>
      <c r="AE9" s="6">
        <f t="shared" si="7"/>
        <v>4.95</v>
      </c>
      <c r="AF9" s="6">
        <f t="shared" si="8"/>
        <v>72.291333333333327</v>
      </c>
    </row>
    <row r="10" spans="1:32" x14ac:dyDescent="0.3">
      <c r="A10" s="10" t="s">
        <v>59</v>
      </c>
      <c r="B10" s="10" t="s">
        <v>68</v>
      </c>
      <c r="C10" s="10"/>
      <c r="D10" s="6">
        <f>SUMIFS(德育素质!H:H,德育素质!B:B,B10,德育素质!D:D,"=基本评定分")</f>
        <v>5.28</v>
      </c>
      <c r="E10" s="6">
        <f>MIN(2,SUMIFS(德育素质!H:H,德育素质!A:A,A10,德育素质!D:D,"=集体评定等级分",德育素质!E:E,"=班级考评等级")+SUMIFS(德育素质!H:H,德育素质!B:B,B10,德育素质!D:D,"=集体评定等级分"))</f>
        <v>1</v>
      </c>
      <c r="F10" s="6">
        <f>MIN(2,SUMIFS(德育素质!H:H,德育素质!B:B,B10,德育素质!D:D,"=社会责任记实分"))</f>
        <v>0</v>
      </c>
      <c r="G10" s="6">
        <f>SUMIFS(德育素质!H:H,德育素质!B:B,B10,德育素质!D:D,"=违纪违规扣分")</f>
        <v>0</v>
      </c>
      <c r="H10" s="6">
        <f>SUMIFS(德育素质!H:H,德育素质!B:B,B10,德育素质!D:D,"=荣誉称号加分")</f>
        <v>0</v>
      </c>
      <c r="I10" s="6">
        <f t="shared" si="0"/>
        <v>1</v>
      </c>
      <c r="J10" s="6">
        <f t="shared" si="1"/>
        <v>6.28</v>
      </c>
      <c r="K10" s="6">
        <f>(VLOOKUP(B10,智育素质!B:D,3,0)*10+50)*0.6</f>
        <v>51.029999999999994</v>
      </c>
      <c r="L10" s="6">
        <f>SUMIFS(体育素质!J:J,体育素质!B:B,B10,体育素质!D:D,"=体育课程成绩",体育素质!E:E,"=体育成绩")/40</f>
        <v>4.0299999999999994</v>
      </c>
      <c r="M10" s="6">
        <f>SUMIFS(体育素质!L:L,体育素质!B:B,B10,体育素质!D:D,"=校内外体育竞赛")</f>
        <v>0</v>
      </c>
      <c r="N10" s="6">
        <f>SUMIFS(体育素质!L:L,体育素质!B:B,B10,体育素质!D:D,"=校内外体育活动",体育素质!E:E,"=早锻炼")</f>
        <v>0</v>
      </c>
      <c r="O10" s="6">
        <f>SUMIFS(体育素质!L:L,体育素质!B:B,B10,体育素质!D:D,"=校内外体育活动",体育素质!E:E,"=校园跑")</f>
        <v>0.70068750000000002</v>
      </c>
      <c r="P10" s="6">
        <f t="shared" si="2"/>
        <v>0.70068750000000002</v>
      </c>
      <c r="Q10" s="6">
        <f t="shared" si="3"/>
        <v>4.7306874999999993</v>
      </c>
      <c r="R10" s="6">
        <f>MIN(0.5,SUMIFS(美育素质!L:L,美育素质!B:B,B10,美育素质!D:D,"=文化艺术实践"))</f>
        <v>0</v>
      </c>
      <c r="S10" s="6">
        <f>SUMIFS(美育素质!L:L,美育素质!B:B,B10,美育素质!D:D,"=校内外文化艺术竞赛")</f>
        <v>0</v>
      </c>
      <c r="T10" s="6">
        <f t="shared" si="4"/>
        <v>0</v>
      </c>
      <c r="U10" s="6">
        <f>MAX(1.21,SUMIFS(劳育素质!K:K,劳育素质!B:B,B10,劳育素质!D:D,"=劳动日常考核基础分")+SUMIFS(劳育素质!K:K,劳育素质!B:B,B10,劳育素质!D:D,"=活动与卫生加减分"))</f>
        <v>1.5960000000000001</v>
      </c>
      <c r="V10" s="6">
        <f>SUMIFS(劳育素质!K:K,劳育素质!B:B,B10,劳育素质!D:D,"=志愿服务",劳育素质!F:F,"=A类+B类")</f>
        <v>0</v>
      </c>
      <c r="W10" s="6">
        <f>SUMIFS(劳育素质!K:K,劳育素质!B:B,B10,劳育素质!D:D,"=志愿服务",劳育素质!F:F,"=C类")</f>
        <v>0</v>
      </c>
      <c r="X10" s="6">
        <f t="shared" si="5"/>
        <v>0</v>
      </c>
      <c r="Y10" s="6">
        <f>SUMIFS(劳育素质!K:K,劳育素质!B:B,B10,劳育素质!D:D,"=实习实训")</f>
        <v>0</v>
      </c>
      <c r="Z10" s="6">
        <f t="shared" si="6"/>
        <v>1.5960000000000001</v>
      </c>
      <c r="AA10" s="6">
        <f>SUMIFS(创新与实践素质!L:L,创新与实践素质!B:B,B10,创新与实践素质!D:D,"=创新创业素质")</f>
        <v>0</v>
      </c>
      <c r="AB10" s="6">
        <f>SUMIFS(创新与实践素质!L:L,创新与实践素质!B:B,B10,创新与实践素质!D:D,"=水平考试")</f>
        <v>0</v>
      </c>
      <c r="AC10" s="6">
        <f>SUMIFS(创新与实践素质!L:L,创新与实践素质!B:B,B10,创新与实践素质!D:D,"=社会实践")</f>
        <v>0</v>
      </c>
      <c r="AD10" s="6">
        <f>_xlfn.MAXIFS(创新与实践素质!L:L,创新与实践素质!B:B,B10,创新与实践素质!D:D,"=社会工作能力（工作表现）",创新与实践素质!G:G,"=上学期")+_xlfn.MAXIFS(创新与实践素质!L:L,创新与实践素质!B:B,B10,创新与实践素质!D:D,"=社会工作能力（工作表现）",创新与实践素质!G:G,"=下学期")</f>
        <v>0</v>
      </c>
      <c r="AE10" s="6">
        <f t="shared" si="7"/>
        <v>0</v>
      </c>
      <c r="AF10" s="6">
        <f t="shared" si="8"/>
        <v>63.636687499999994</v>
      </c>
    </row>
    <row r="11" spans="1:32" x14ac:dyDescent="0.3">
      <c r="A11" s="10" t="s">
        <v>59</v>
      </c>
      <c r="B11" s="10" t="s">
        <v>70</v>
      </c>
      <c r="C11" s="10"/>
      <c r="D11" s="6">
        <f>SUMIFS(德育素质!H:H,德育素质!B:B,B11,德育素质!D:D,"=基本评定分")</f>
        <v>5.28</v>
      </c>
      <c r="E11" s="6">
        <f>MIN(2,SUMIFS(德育素质!H:H,德育素质!A:A,A11,德育素质!D:D,"=集体评定等级分",德育素质!E:E,"=班级考评等级")+SUMIFS(德育素质!H:H,德育素质!B:B,B11,德育素质!D:D,"=集体评定等级分"))</f>
        <v>1</v>
      </c>
      <c r="F11" s="6">
        <f>MIN(2,SUMIFS(德育素质!H:H,德育素质!B:B,B11,德育素质!D:D,"=社会责任记实分"))</f>
        <v>0</v>
      </c>
      <c r="G11" s="6">
        <f>SUMIFS(德育素质!H:H,德育素质!B:B,B11,德育素质!D:D,"=违纪违规扣分")</f>
        <v>0</v>
      </c>
      <c r="H11" s="6">
        <f>SUMIFS(德育素质!H:H,德育素质!B:B,B11,德育素质!D:D,"=荣誉称号加分")</f>
        <v>0</v>
      </c>
      <c r="I11" s="6">
        <f t="shared" si="0"/>
        <v>1</v>
      </c>
      <c r="J11" s="6">
        <f t="shared" si="1"/>
        <v>6.28</v>
      </c>
      <c r="K11" s="6">
        <f>(VLOOKUP(B11,智育素质!B:D,3,0)*10+50)*0.6</f>
        <v>50.417999999999999</v>
      </c>
      <c r="L11" s="6">
        <f>SUMIFS(体育素质!J:J,体育素质!B:B,B11,体育素质!D:D,"=体育课程成绩",体育素质!E:E,"=体育成绩")/40</f>
        <v>3.56</v>
      </c>
      <c r="M11" s="6">
        <f>SUMIFS(体育素质!L:L,体育素质!B:B,B11,体育素质!D:D,"=校内外体育竞赛")</f>
        <v>0</v>
      </c>
      <c r="N11" s="6">
        <f>SUMIFS(体育素质!L:L,体育素质!B:B,B11,体育素质!D:D,"=校内外体育活动",体育素质!E:E,"=早锻炼")</f>
        <v>0</v>
      </c>
      <c r="O11" s="6">
        <f>SUMIFS(体育素质!L:L,体育素质!B:B,B11,体育素质!D:D,"=校内外体育活动",体育素质!E:E,"=校园跑")</f>
        <v>0.6258125000000001</v>
      </c>
      <c r="P11" s="6">
        <f t="shared" si="2"/>
        <v>0.6258125000000001</v>
      </c>
      <c r="Q11" s="6">
        <f t="shared" si="3"/>
        <v>4.1858124999999999</v>
      </c>
      <c r="R11" s="6">
        <f>MIN(0.5,SUMIFS(美育素质!L:L,美育素质!B:B,B11,美育素质!D:D,"=文化艺术实践"))</f>
        <v>0</v>
      </c>
      <c r="S11" s="6">
        <f>SUMIFS(美育素质!L:L,美育素质!B:B,B11,美育素质!D:D,"=校内外文化艺术竞赛")</f>
        <v>0</v>
      </c>
      <c r="T11" s="6">
        <f t="shared" si="4"/>
        <v>0</v>
      </c>
      <c r="U11" s="6">
        <f>MAX(1.21,SUMIFS(劳育素质!K:K,劳育素质!B:B,B11,劳育素质!D:D,"=劳动日常考核基础分")+SUMIFS(劳育素质!K:K,劳育素质!B:B,B11,劳育素质!D:D,"=活动与卫生加减分"))</f>
        <v>1.311866666666667</v>
      </c>
      <c r="V11" s="6">
        <f>SUMIFS(劳育素质!K:K,劳育素质!B:B,B11,劳育素质!D:D,"=志愿服务",劳育素质!F:F,"=A类+B类")</f>
        <v>0.6</v>
      </c>
      <c r="W11" s="6">
        <f>SUMIFS(劳育素质!K:K,劳育素质!B:B,B11,劳育素质!D:D,"=志愿服务",劳育素质!F:F,"=C类")</f>
        <v>0</v>
      </c>
      <c r="X11" s="6">
        <f t="shared" si="5"/>
        <v>0.6</v>
      </c>
      <c r="Y11" s="6">
        <f>SUMIFS(劳育素质!K:K,劳育素质!B:B,B11,劳育素质!D:D,"=实习实训")</f>
        <v>0</v>
      </c>
      <c r="Z11" s="6">
        <f t="shared" si="6"/>
        <v>1.911866666666667</v>
      </c>
      <c r="AA11" s="6">
        <f>SUMIFS(创新与实践素质!L:L,创新与实践素质!B:B,B11,创新与实践素质!D:D,"=创新创业素质")</f>
        <v>2.1</v>
      </c>
      <c r="AB11" s="6">
        <f>SUMIFS(创新与实践素质!L:L,创新与实践素质!B:B,B11,创新与实践素质!D:D,"=水平考试")</f>
        <v>0</v>
      </c>
      <c r="AC11" s="6">
        <f>SUMIFS(创新与实践素质!L:L,创新与实践素质!B:B,B11,创新与实践素质!D:D,"=社会实践")</f>
        <v>0</v>
      </c>
      <c r="AD11" s="6">
        <f>_xlfn.MAXIFS(创新与实践素质!L:L,创新与实践素质!B:B,B11,创新与实践素质!D:D,"=社会工作能力（工作表现）",创新与实践素质!G:G,"=上学期")+_xlfn.MAXIFS(创新与实践素质!L:L,创新与实践素质!B:B,B11,创新与实践素质!D:D,"=社会工作能力（工作表现）",创新与实践素质!G:G,"=下学期")</f>
        <v>0</v>
      </c>
      <c r="AE11" s="6">
        <f t="shared" si="7"/>
        <v>2.1</v>
      </c>
      <c r="AF11" s="6">
        <f t="shared" si="8"/>
        <v>64.895679166666667</v>
      </c>
    </row>
    <row r="12" spans="1:32" x14ac:dyDescent="0.3">
      <c r="A12" s="10" t="s">
        <v>59</v>
      </c>
      <c r="B12" s="10" t="s">
        <v>71</v>
      </c>
      <c r="C12" s="10"/>
      <c r="D12" s="6">
        <f>SUMIFS(德育素质!H:H,德育素质!B:B,B12,德育素质!D:D,"=基本评定分")</f>
        <v>6</v>
      </c>
      <c r="E12" s="6">
        <f>MIN(2,SUMIFS(德育素质!H:H,德育素质!A:A,A12,德育素质!D:D,"=集体评定等级分",德育素质!E:E,"=班级考评等级")+SUMIFS(德育素质!H:H,德育素质!B:B,B12,德育素质!D:D,"=集体评定等级分"))</f>
        <v>1</v>
      </c>
      <c r="F12" s="6">
        <f>MIN(2,SUMIFS(德育素质!H:H,德育素质!B:B,B12,德育素质!D:D,"=社会责任记实分"))</f>
        <v>0</v>
      </c>
      <c r="G12" s="6">
        <f>SUMIFS(德育素质!H:H,德育素质!B:B,B12,德育素质!D:D,"=违纪违规扣分")</f>
        <v>0</v>
      </c>
      <c r="H12" s="6">
        <f>SUMIFS(德育素质!H:H,德育素质!B:B,B12,德育素质!D:D,"=荣誉称号加分")</f>
        <v>0</v>
      </c>
      <c r="I12" s="6">
        <f t="shared" si="0"/>
        <v>1</v>
      </c>
      <c r="J12" s="6">
        <f t="shared" si="1"/>
        <v>7</v>
      </c>
      <c r="K12" s="6">
        <f>(VLOOKUP(B12,智育素质!B:D,3,0)*10+50)*0.6</f>
        <v>51.912000000000006</v>
      </c>
      <c r="L12" s="6">
        <f>SUMIFS(体育素质!J:J,体育素质!B:B,B12,体育素质!D:D,"=体育课程成绩",体育素质!E:E,"=体育成绩")/40</f>
        <v>4.2</v>
      </c>
      <c r="M12" s="6">
        <f>SUMIFS(体育素质!L:L,体育素质!B:B,B12,体育素质!D:D,"=校内外体育竞赛")</f>
        <v>0</v>
      </c>
      <c r="N12" s="6">
        <f>SUMIFS(体育素质!L:L,体育素质!B:B,B12,体育素质!D:D,"=校内外体育活动",体育素质!E:E,"=早锻炼")</f>
        <v>0</v>
      </c>
      <c r="O12" s="6">
        <f>SUMIFS(体育素质!L:L,体育素质!B:B,B12,体育素质!D:D,"=校内外体育活动",体育素质!E:E,"=校园跑")</f>
        <v>0.81598958333333327</v>
      </c>
      <c r="P12" s="6">
        <f t="shared" si="2"/>
        <v>0.81598958333333327</v>
      </c>
      <c r="Q12" s="6">
        <f t="shared" si="3"/>
        <v>5.015989583333333</v>
      </c>
      <c r="R12" s="6">
        <f>MIN(0.5,SUMIFS(美育素质!L:L,美育素质!B:B,B12,美育素质!D:D,"=文化艺术实践"))</f>
        <v>0</v>
      </c>
      <c r="S12" s="6">
        <f>SUMIFS(美育素质!L:L,美育素质!B:B,B12,美育素质!D:D,"=校内外文化艺术竞赛")</f>
        <v>0.5</v>
      </c>
      <c r="T12" s="6">
        <f t="shared" si="4"/>
        <v>0.5</v>
      </c>
      <c r="U12" s="6">
        <f>MAX(1.21,SUMIFS(劳育素质!K:K,劳育素质!B:B,B12,劳育素质!D:D,"=劳动日常考核基础分")+SUMIFS(劳育素质!K:K,劳育素质!B:B,B12,劳育素质!D:D,"=活动与卫生加减分"))</f>
        <v>1.4197333333333331</v>
      </c>
      <c r="V12" s="6">
        <f>SUMIFS(劳育素质!K:K,劳育素质!B:B,B12,劳育素质!D:D,"=志愿服务",劳育素质!F:F,"=A类+B类")</f>
        <v>1.75</v>
      </c>
      <c r="W12" s="6">
        <f>SUMIFS(劳育素质!K:K,劳育素质!B:B,B12,劳育素质!D:D,"=志愿服务",劳育素质!F:F,"=C类")</f>
        <v>0</v>
      </c>
      <c r="X12" s="6">
        <f t="shared" si="5"/>
        <v>1.75</v>
      </c>
      <c r="Y12" s="6">
        <f>SUMIFS(劳育素质!K:K,劳育素质!B:B,B12,劳育素质!D:D,"=实习实训")</f>
        <v>0</v>
      </c>
      <c r="Z12" s="6">
        <f t="shared" si="6"/>
        <v>3.1697333333333333</v>
      </c>
      <c r="AA12" s="6">
        <f>SUMIFS(创新与实践素质!L:L,创新与实践素质!B:B,B12,创新与实践素质!D:D,"=创新创业素质")</f>
        <v>5.4</v>
      </c>
      <c r="AB12" s="6">
        <f>SUMIFS(创新与实践素质!L:L,创新与实践素质!B:B,B12,创新与实践素质!D:D,"=水平考试")</f>
        <v>0</v>
      </c>
      <c r="AC12" s="6">
        <f>SUMIFS(创新与实践素质!L:L,创新与实践素质!B:B,B12,创新与实践素质!D:D,"=社会实践")</f>
        <v>0</v>
      </c>
      <c r="AD12" s="6">
        <f>_xlfn.MAXIFS(创新与实践素质!L:L,创新与实践素质!B:B,B12,创新与实践素质!D:D,"=社会工作能力（工作表现）",创新与实践素质!G:G,"=上学期")+_xlfn.MAXIFS(创新与实践素质!L:L,创新与实践素质!B:B,B12,创新与实践素质!D:D,"=社会工作能力（工作表现）",创新与实践素质!G:G,"=下学期")</f>
        <v>0.5</v>
      </c>
      <c r="AE12" s="6">
        <f t="shared" si="7"/>
        <v>5.9</v>
      </c>
      <c r="AF12" s="6">
        <f t="shared" si="8"/>
        <v>73.497722916666675</v>
      </c>
    </row>
    <row r="13" spans="1:32" x14ac:dyDescent="0.3">
      <c r="A13" s="10" t="s">
        <v>59</v>
      </c>
      <c r="B13" s="10" t="s">
        <v>72</v>
      </c>
      <c r="C13" s="10"/>
      <c r="D13" s="6">
        <f>SUMIFS(德育素质!H:H,德育素质!B:B,B13,德育素质!D:D,"=基本评定分")</f>
        <v>6</v>
      </c>
      <c r="E13" s="6">
        <f>MIN(2,SUMIFS(德育素质!H:H,德育素质!A:A,A13,德育素质!D:D,"=集体评定等级分",德育素质!E:E,"=班级考评等级")+SUMIFS(德育素质!H:H,德育素质!B:B,B13,德育素质!D:D,"=集体评定等级分"))</f>
        <v>1</v>
      </c>
      <c r="F13" s="6">
        <f>MIN(2,SUMIFS(德育素质!H:H,德育素质!B:B,B13,德育素质!D:D,"=社会责任记实分"))</f>
        <v>0</v>
      </c>
      <c r="G13" s="6">
        <f>SUMIFS(德育素质!H:H,德育素质!B:B,B13,德育素质!D:D,"=违纪违规扣分")</f>
        <v>0</v>
      </c>
      <c r="H13" s="6">
        <f>SUMIFS(德育素质!H:H,德育素质!B:B,B13,德育素质!D:D,"=荣誉称号加分")</f>
        <v>0</v>
      </c>
      <c r="I13" s="6">
        <f t="shared" si="0"/>
        <v>1</v>
      </c>
      <c r="J13" s="6">
        <f t="shared" si="1"/>
        <v>7</v>
      </c>
      <c r="K13" s="6">
        <f>(VLOOKUP(B13,智育素质!B:D,3,0)*10+50)*0.6</f>
        <v>50.279999999999994</v>
      </c>
      <c r="L13" s="6">
        <f>SUMIFS(体育素质!J:J,体育素质!B:B,B13,体育素质!D:D,"=体育课程成绩",体育素质!E:E,"=体育成绩")/40</f>
        <v>3.84</v>
      </c>
      <c r="M13" s="6">
        <f>SUMIFS(体育素质!L:L,体育素质!B:B,B13,体育素质!D:D,"=校内外体育竞赛")</f>
        <v>0</v>
      </c>
      <c r="N13" s="6">
        <f>SUMIFS(体育素质!L:L,体育素质!B:B,B13,体育素质!D:D,"=校内外体育活动",体育素质!E:E,"=早锻炼")</f>
        <v>0</v>
      </c>
      <c r="O13" s="6">
        <f>SUMIFS(体育素质!L:L,体育素质!B:B,B13,体育素质!D:D,"=校内外体育活动",体育素质!E:E,"=校园跑")</f>
        <v>0.82291666666666663</v>
      </c>
      <c r="P13" s="6">
        <f t="shared" si="2"/>
        <v>0.82291666666666663</v>
      </c>
      <c r="Q13" s="6">
        <f t="shared" si="3"/>
        <v>4.6629166666666668</v>
      </c>
      <c r="R13" s="6">
        <f>MIN(0.5,SUMIFS(美育素质!L:L,美育素质!B:B,B13,美育素质!D:D,"=文化艺术实践"))</f>
        <v>0</v>
      </c>
      <c r="S13" s="6">
        <f>SUMIFS(美育素质!L:L,美育素质!B:B,B13,美育素质!D:D,"=校内外文化艺术竞赛")</f>
        <v>0.125</v>
      </c>
      <c r="T13" s="6">
        <f t="shared" si="4"/>
        <v>0.125</v>
      </c>
      <c r="U13" s="6">
        <f>MAX(1.21,SUMIFS(劳育素质!K:K,劳育素质!B:B,B13,劳育素质!D:D,"=劳动日常考核基础分")+SUMIFS(劳育素质!K:K,劳育素质!B:B,B13,劳育素质!D:D,"=活动与卫生加减分"))</f>
        <v>1.394166666666667</v>
      </c>
      <c r="V13" s="6">
        <f>SUMIFS(劳育素质!K:K,劳育素质!B:B,B13,劳育素质!D:D,"=志愿服务",劳育素质!F:F,"=A类+B类")</f>
        <v>0</v>
      </c>
      <c r="W13" s="6">
        <f>SUMIFS(劳育素质!K:K,劳育素质!B:B,B13,劳育素质!D:D,"=志愿服务",劳育素质!F:F,"=C类")</f>
        <v>0</v>
      </c>
      <c r="X13" s="6">
        <f t="shared" si="5"/>
        <v>0</v>
      </c>
      <c r="Y13" s="6">
        <f>SUMIFS(劳育素质!K:K,劳育素质!B:B,B13,劳育素质!D:D,"=实习实训")</f>
        <v>0</v>
      </c>
      <c r="Z13" s="6">
        <f t="shared" si="6"/>
        <v>1.394166666666667</v>
      </c>
      <c r="AA13" s="6">
        <f>SUMIFS(创新与实践素质!L:L,创新与实践素质!B:B,B13,创新与实践素质!D:D,"=创新创业素质")</f>
        <v>0</v>
      </c>
      <c r="AB13" s="6">
        <f>SUMIFS(创新与实践素质!L:L,创新与实践素质!B:B,B13,创新与实践素质!D:D,"=水平考试")</f>
        <v>0</v>
      </c>
      <c r="AC13" s="6">
        <f>SUMIFS(创新与实践素质!L:L,创新与实践素质!B:B,B13,创新与实践素质!D:D,"=社会实践")</f>
        <v>0</v>
      </c>
      <c r="AD13" s="6">
        <f>_xlfn.MAXIFS(创新与实践素质!L:L,创新与实践素质!B:B,B13,创新与实践素质!D:D,"=社会工作能力（工作表现）",创新与实践素质!G:G,"=上学期")+_xlfn.MAXIFS(创新与实践素质!L:L,创新与实践素质!B:B,B13,创新与实践素质!D:D,"=社会工作能力（工作表现）",创新与实践素质!G:G,"=下学期")</f>
        <v>1.2</v>
      </c>
      <c r="AE13" s="6">
        <f t="shared" si="7"/>
        <v>1.2</v>
      </c>
      <c r="AF13" s="6">
        <f t="shared" si="8"/>
        <v>64.662083333333328</v>
      </c>
    </row>
    <row r="14" spans="1:32" x14ac:dyDescent="0.3">
      <c r="A14" s="10" t="s">
        <v>59</v>
      </c>
      <c r="B14" s="10" t="s">
        <v>73</v>
      </c>
      <c r="C14" s="10"/>
      <c r="D14" s="6">
        <f>SUMIFS(德育素质!H:H,德育素质!B:B,B14,德育素质!D:D,"=基本评定分")</f>
        <v>6</v>
      </c>
      <c r="E14" s="6">
        <f>MIN(2,SUMIFS(德育素质!H:H,德育素质!A:A,A14,德育素质!D:D,"=集体评定等级分",德育素质!E:E,"=班级考评等级")+SUMIFS(德育素质!H:H,德育素质!B:B,B14,德育素质!D:D,"=集体评定等级分"))</f>
        <v>1</v>
      </c>
      <c r="F14" s="6">
        <f>MIN(2,SUMIFS(德育素质!H:H,德育素质!B:B,B14,德育素质!D:D,"=社会责任记实分"))</f>
        <v>0</v>
      </c>
      <c r="G14" s="6">
        <f>SUMIFS(德育素质!H:H,德育素质!B:B,B14,德育素质!D:D,"=违纪违规扣分")</f>
        <v>0</v>
      </c>
      <c r="H14" s="6">
        <f>SUMIFS(德育素质!H:H,德育素质!B:B,B14,德育素质!D:D,"=荣誉称号加分")</f>
        <v>0</v>
      </c>
      <c r="I14" s="6">
        <f t="shared" si="0"/>
        <v>1</v>
      </c>
      <c r="J14" s="6">
        <f t="shared" si="1"/>
        <v>7</v>
      </c>
      <c r="K14" s="6">
        <f>(VLOOKUP(B14,智育素质!B:D,3,0)*10+50)*0.6</f>
        <v>51.461999999999996</v>
      </c>
      <c r="L14" s="6">
        <f>SUMIFS(体育素质!J:J,体育素质!B:B,B14,体育素质!D:D,"=体育课程成绩",体育素质!E:E,"=体育成绩")/40</f>
        <v>4.1349999999999998</v>
      </c>
      <c r="M14" s="6">
        <f>SUMIFS(体育素质!L:L,体育素质!B:B,B14,体育素质!D:D,"=校内外体育竞赛")</f>
        <v>0</v>
      </c>
      <c r="N14" s="6">
        <f>SUMIFS(体育素质!L:L,体育素质!B:B,B14,体育素质!D:D,"=校内外体育活动",体育素质!E:E,"=早锻炼")</f>
        <v>0</v>
      </c>
      <c r="O14" s="6">
        <f>SUMIFS(体育素质!L:L,体育素质!B:B,B14,体育素质!D:D,"=校内外体育活动",体育素质!E:E,"=校园跑")</f>
        <v>0.83225000000000005</v>
      </c>
      <c r="P14" s="6">
        <f t="shared" si="2"/>
        <v>0.83225000000000005</v>
      </c>
      <c r="Q14" s="6">
        <f t="shared" si="3"/>
        <v>4.9672499999999999</v>
      </c>
      <c r="R14" s="6">
        <f>MIN(0.5,SUMIFS(美育素质!L:L,美育素质!B:B,B14,美育素质!D:D,"=文化艺术实践"))</f>
        <v>0</v>
      </c>
      <c r="S14" s="6">
        <f>SUMIFS(美育素质!L:L,美育素质!B:B,B14,美育素质!D:D,"=校内外文化艺术竞赛")</f>
        <v>0</v>
      </c>
      <c r="T14" s="6">
        <f t="shared" si="4"/>
        <v>0</v>
      </c>
      <c r="U14" s="6">
        <f>MAX(1.21,SUMIFS(劳育素质!K:K,劳育素质!B:B,B14,劳育素质!D:D,"=劳动日常考核基础分")+SUMIFS(劳育素质!K:K,劳育素质!B:B,B14,劳育素质!D:D,"=活动与卫生加减分"))</f>
        <v>1.5284</v>
      </c>
      <c r="V14" s="6">
        <f>SUMIFS(劳育素质!K:K,劳育素质!B:B,B14,劳育素质!D:D,"=志愿服务",劳育素质!F:F,"=A类+B类")</f>
        <v>0</v>
      </c>
      <c r="W14" s="6">
        <f>SUMIFS(劳育素质!K:K,劳育素质!B:B,B14,劳育素质!D:D,"=志愿服务",劳育素质!F:F,"=C类")</f>
        <v>0</v>
      </c>
      <c r="X14" s="6">
        <f t="shared" si="5"/>
        <v>0</v>
      </c>
      <c r="Y14" s="6">
        <f>SUMIFS(劳育素质!K:K,劳育素质!B:B,B14,劳育素质!D:D,"=实习实训")</f>
        <v>0</v>
      </c>
      <c r="Z14" s="6">
        <f t="shared" si="6"/>
        <v>1.5284</v>
      </c>
      <c r="AA14" s="6">
        <f>SUMIFS(创新与实践素质!L:L,创新与实践素质!B:B,B14,创新与实践素质!D:D,"=创新创业素质")</f>
        <v>7.65</v>
      </c>
      <c r="AB14" s="6">
        <f>SUMIFS(创新与实践素质!L:L,创新与实践素质!B:B,B14,创新与实践素质!D:D,"=水平考试")</f>
        <v>0</v>
      </c>
      <c r="AC14" s="6">
        <f>SUMIFS(创新与实践素质!L:L,创新与实践素质!B:B,B14,创新与实践素质!D:D,"=社会实践")</f>
        <v>0</v>
      </c>
      <c r="AD14" s="6">
        <f>_xlfn.MAXIFS(创新与实践素质!L:L,创新与实践素质!B:B,B14,创新与实践素质!D:D,"=社会工作能力（工作表现）",创新与实践素质!G:G,"=上学期")+_xlfn.MAXIFS(创新与实践素质!L:L,创新与实践素质!B:B,B14,创新与实践素质!D:D,"=社会工作能力（工作表现）",创新与实践素质!G:G,"=下学期")</f>
        <v>1.4</v>
      </c>
      <c r="AE14" s="6">
        <f t="shared" si="7"/>
        <v>9.0500000000000007</v>
      </c>
      <c r="AF14" s="6">
        <f t="shared" si="8"/>
        <v>74.007649999999998</v>
      </c>
    </row>
    <row r="15" spans="1:32" x14ac:dyDescent="0.3">
      <c r="A15" s="10" t="s">
        <v>59</v>
      </c>
      <c r="B15" s="10" t="s">
        <v>74</v>
      </c>
      <c r="C15" s="10"/>
      <c r="D15" s="6">
        <f>SUMIFS(德育素质!H:H,德育素质!B:B,B15,德育素质!D:D,"=基本评定分")</f>
        <v>6</v>
      </c>
      <c r="E15" s="6">
        <f>MIN(2,SUMIFS(德育素质!H:H,德育素质!A:A,A15,德育素质!D:D,"=集体评定等级分",德育素质!E:E,"=班级考评等级")+SUMIFS(德育素质!H:H,德育素质!B:B,B15,德育素质!D:D,"=集体评定等级分"))</f>
        <v>1</v>
      </c>
      <c r="F15" s="6">
        <f>MIN(2,SUMIFS(德育素质!H:H,德育素质!B:B,B15,德育素质!D:D,"=社会责任记实分"))</f>
        <v>0</v>
      </c>
      <c r="G15" s="6">
        <f>SUMIFS(德育素质!H:H,德育素质!B:B,B15,德育素质!D:D,"=违纪违规扣分")</f>
        <v>0</v>
      </c>
      <c r="H15" s="6">
        <f>SUMIFS(德育素质!H:H,德育素质!B:B,B15,德育素质!D:D,"=荣誉称号加分")</f>
        <v>0</v>
      </c>
      <c r="I15" s="6">
        <f t="shared" si="0"/>
        <v>1</v>
      </c>
      <c r="J15" s="6">
        <f t="shared" si="1"/>
        <v>7</v>
      </c>
      <c r="K15" s="6">
        <f>(VLOOKUP(B15,智育素质!B:D,3,0)*10+50)*0.6</f>
        <v>51.005999999999993</v>
      </c>
      <c r="L15" s="6">
        <f>SUMIFS(体育素质!J:J,体育素质!B:B,B15,体育素质!D:D,"=体育课程成绩",体育素质!E:E,"=体育成绩")/40</f>
        <v>4.42</v>
      </c>
      <c r="M15" s="6">
        <f>SUMIFS(体育素质!L:L,体育素质!B:B,B15,体育素质!D:D,"=校内外体育竞赛")</f>
        <v>0</v>
      </c>
      <c r="N15" s="6">
        <f>SUMIFS(体育素质!L:L,体育素质!B:B,B15,体育素质!D:D,"=校内外体育活动",体育素质!E:E,"=早锻炼")</f>
        <v>0</v>
      </c>
      <c r="O15" s="6">
        <f>SUMIFS(体育素质!L:L,体育素质!B:B,B15,体育素质!D:D,"=校内外体育活动",体育素质!E:E,"=校园跑")</f>
        <v>1</v>
      </c>
      <c r="P15" s="6">
        <f t="shared" si="2"/>
        <v>1</v>
      </c>
      <c r="Q15" s="6">
        <f t="shared" si="3"/>
        <v>5.42</v>
      </c>
      <c r="R15" s="6">
        <f>MIN(0.5,SUMIFS(美育素质!L:L,美育素质!B:B,B15,美育素质!D:D,"=文化艺术实践"))</f>
        <v>0</v>
      </c>
      <c r="S15" s="6">
        <f>SUMIFS(美育素质!L:L,美育素质!B:B,B15,美育素质!D:D,"=校内外文化艺术竞赛")</f>
        <v>0</v>
      </c>
      <c r="T15" s="6">
        <f t="shared" si="4"/>
        <v>0</v>
      </c>
      <c r="U15" s="6">
        <f>MAX(1.21,SUMIFS(劳育素质!K:K,劳育素质!B:B,B15,劳育素质!D:D,"=劳动日常考核基础分")+SUMIFS(劳育素质!K:K,劳育素质!B:B,B15,劳育素质!D:D,"=活动与卫生加减分"))</f>
        <v>1.4197333333333331</v>
      </c>
      <c r="V15" s="6">
        <f>SUMIFS(劳育素质!K:K,劳育素质!B:B,B15,劳育素质!D:D,"=志愿服务",劳育素质!F:F,"=A类+B类")</f>
        <v>0</v>
      </c>
      <c r="W15" s="6">
        <f>SUMIFS(劳育素质!K:K,劳育素质!B:B,B15,劳育素质!D:D,"=志愿服务",劳育素质!F:F,"=C类")</f>
        <v>0</v>
      </c>
      <c r="X15" s="6">
        <f t="shared" si="5"/>
        <v>0</v>
      </c>
      <c r="Y15" s="6">
        <f>SUMIFS(劳育素质!K:K,劳育素质!B:B,B15,劳育素质!D:D,"=实习实训")</f>
        <v>0</v>
      </c>
      <c r="Z15" s="6">
        <f t="shared" si="6"/>
        <v>1.4197333333333331</v>
      </c>
      <c r="AA15" s="6">
        <f>SUMIFS(创新与实践素质!L:L,创新与实践素质!B:B,B15,创新与实践素质!D:D,"=创新创业素质")</f>
        <v>0</v>
      </c>
      <c r="AB15" s="6">
        <f>SUMIFS(创新与实践素质!L:L,创新与实践素质!B:B,B15,创新与实践素质!D:D,"=水平考试")</f>
        <v>0</v>
      </c>
      <c r="AC15" s="6">
        <f>SUMIFS(创新与实践素质!L:L,创新与实践素质!B:B,B15,创新与实践素质!D:D,"=社会实践")</f>
        <v>0</v>
      </c>
      <c r="AD15" s="6">
        <f>_xlfn.MAXIFS(创新与实践素质!L:L,创新与实践素质!B:B,B15,创新与实践素质!D:D,"=社会工作能力（工作表现）",创新与实践素质!G:G,"=上学期")+_xlfn.MAXIFS(创新与实践素质!L:L,创新与实践素质!B:B,B15,创新与实践素质!D:D,"=社会工作能力（工作表现）",创新与实践素质!G:G,"=下学期")</f>
        <v>0.5</v>
      </c>
      <c r="AE15" s="6">
        <f t="shared" si="7"/>
        <v>0.5</v>
      </c>
      <c r="AF15" s="6">
        <f t="shared" si="8"/>
        <v>65.345733333333328</v>
      </c>
    </row>
    <row r="16" spans="1:32" x14ac:dyDescent="0.3">
      <c r="A16" s="10" t="s">
        <v>59</v>
      </c>
      <c r="B16" s="10" t="s">
        <v>75</v>
      </c>
      <c r="C16" s="10"/>
      <c r="D16" s="6">
        <f>SUMIFS(德育素质!H:H,德育素质!B:B,B16,德育素质!D:D,"=基本评定分")</f>
        <v>5.28</v>
      </c>
      <c r="E16" s="6">
        <f>MIN(2,SUMIFS(德育素质!H:H,德育素质!A:A,A16,德育素质!D:D,"=集体评定等级分",德育素质!E:E,"=班级考评等级")+SUMIFS(德育素质!H:H,德育素质!B:B,B16,德育素质!D:D,"=集体评定等级分"))</f>
        <v>1</v>
      </c>
      <c r="F16" s="6">
        <f>MIN(2,SUMIFS(德育素质!H:H,德育素质!B:B,B16,德育素质!D:D,"=社会责任记实分"))</f>
        <v>0</v>
      </c>
      <c r="G16" s="6">
        <f>SUMIFS(德育素质!H:H,德育素质!B:B,B16,德育素质!D:D,"=违纪违规扣分")</f>
        <v>0</v>
      </c>
      <c r="H16" s="6">
        <f>SUMIFS(德育素质!H:H,德育素质!B:B,B16,德育素质!D:D,"=荣誉称号加分")</f>
        <v>0</v>
      </c>
      <c r="I16" s="6">
        <f t="shared" si="0"/>
        <v>1</v>
      </c>
      <c r="J16" s="6">
        <f t="shared" si="1"/>
        <v>6.28</v>
      </c>
      <c r="K16" s="6">
        <f>(VLOOKUP(B16,智育素质!B:D,3,0)*10+50)*0.6</f>
        <v>49.967999999999996</v>
      </c>
      <c r="L16" s="6">
        <f>SUMIFS(体育素质!J:J,体育素质!B:B,B16,体育素质!D:D,"=体育课程成绩",体育素质!E:E,"=体育成绩")/40</f>
        <v>3.2299999999999995</v>
      </c>
      <c r="M16" s="6">
        <f>SUMIFS(体育素质!L:L,体育素质!B:B,B16,体育素质!D:D,"=校内外体育竞赛")</f>
        <v>0</v>
      </c>
      <c r="N16" s="6">
        <f>SUMIFS(体育素质!L:L,体育素质!B:B,B16,体育素质!D:D,"=校内外体育活动",体育素质!E:E,"=早锻炼")</f>
        <v>0</v>
      </c>
      <c r="O16" s="6">
        <f>SUMIFS(体育素质!L:L,体育素质!B:B,B16,体育素质!D:D,"=校内外体育活动",体育素质!E:E,"=校园跑")</f>
        <v>0.625</v>
      </c>
      <c r="P16" s="6">
        <f t="shared" si="2"/>
        <v>0.625</v>
      </c>
      <c r="Q16" s="6">
        <f t="shared" si="3"/>
        <v>3.8549999999999995</v>
      </c>
      <c r="R16" s="6">
        <f>MIN(0.5,SUMIFS(美育素质!L:L,美育素质!B:B,B16,美育素质!D:D,"=文化艺术实践"))</f>
        <v>0</v>
      </c>
      <c r="S16" s="6">
        <f>SUMIFS(美育素质!L:L,美育素质!B:B,B16,美育素质!D:D,"=校内外文化艺术竞赛")</f>
        <v>0</v>
      </c>
      <c r="T16" s="6">
        <f t="shared" si="4"/>
        <v>0</v>
      </c>
      <c r="U16" s="6">
        <f>MAX(1.21,SUMIFS(劳育素质!K:K,劳育素质!B:B,B16,劳育素质!D:D,"=劳动日常考核基础分")+SUMIFS(劳育素质!K:K,劳育素质!B:B,B16,劳育素质!D:D,"=活动与卫生加减分"))</f>
        <v>1.397777777777778</v>
      </c>
      <c r="V16" s="6">
        <f>SUMIFS(劳育素质!K:K,劳育素质!B:B,B16,劳育素质!D:D,"=志愿服务",劳育素质!F:F,"=A类+B类")</f>
        <v>0</v>
      </c>
      <c r="W16" s="6">
        <f>SUMIFS(劳育素质!K:K,劳育素质!B:B,B16,劳育素质!D:D,"=志愿服务",劳育素质!F:F,"=C类")</f>
        <v>0</v>
      </c>
      <c r="X16" s="6">
        <f t="shared" si="5"/>
        <v>0</v>
      </c>
      <c r="Y16" s="6">
        <f>SUMIFS(劳育素质!K:K,劳育素质!B:B,B16,劳育素质!D:D,"=实习实训")</f>
        <v>0</v>
      </c>
      <c r="Z16" s="6">
        <f t="shared" si="6"/>
        <v>1.397777777777778</v>
      </c>
      <c r="AA16" s="6">
        <f>SUMIFS(创新与实践素质!L:L,创新与实践素质!B:B,B16,创新与实践素质!D:D,"=创新创业素质")</f>
        <v>0</v>
      </c>
      <c r="AB16" s="6">
        <f>SUMIFS(创新与实践素质!L:L,创新与实践素质!B:B,B16,创新与实践素质!D:D,"=水平考试")</f>
        <v>0</v>
      </c>
      <c r="AC16" s="6">
        <f>SUMIFS(创新与实践素质!L:L,创新与实践素质!B:B,B16,创新与实践素质!D:D,"=社会实践")</f>
        <v>0</v>
      </c>
      <c r="AD16" s="6">
        <f>_xlfn.MAXIFS(创新与实践素质!L:L,创新与实践素质!B:B,B16,创新与实践素质!D:D,"=社会工作能力（工作表现）",创新与实践素质!G:G,"=上学期")+_xlfn.MAXIFS(创新与实践素质!L:L,创新与实践素质!B:B,B16,创新与实践素质!D:D,"=社会工作能力（工作表现）",创新与实践素质!G:G,"=下学期")</f>
        <v>0</v>
      </c>
      <c r="AE16" s="6">
        <f t="shared" si="7"/>
        <v>0</v>
      </c>
      <c r="AF16" s="6">
        <f t="shared" si="8"/>
        <v>61.500777777777778</v>
      </c>
    </row>
    <row r="17" spans="1:32" x14ac:dyDescent="0.3">
      <c r="A17" s="10" t="s">
        <v>59</v>
      </c>
      <c r="B17" s="10" t="s">
        <v>76</v>
      </c>
      <c r="C17" s="10"/>
      <c r="D17" s="6">
        <f>SUMIFS(德育素质!H:H,德育素质!B:B,B17,德育素质!D:D,"=基本评定分")</f>
        <v>5.28</v>
      </c>
      <c r="E17" s="6">
        <f>MIN(2,SUMIFS(德育素质!H:H,德育素质!A:A,A17,德育素质!D:D,"=集体评定等级分",德育素质!E:E,"=班级考评等级")+SUMIFS(德育素质!H:H,德育素质!B:B,B17,德育素质!D:D,"=集体评定等级分"))</f>
        <v>1</v>
      </c>
      <c r="F17" s="6">
        <f>MIN(2,SUMIFS(德育素质!H:H,德育素质!B:B,B17,德育素质!D:D,"=社会责任记实分"))</f>
        <v>0</v>
      </c>
      <c r="G17" s="6">
        <f>SUMIFS(德育素质!H:H,德育素质!B:B,B17,德育素质!D:D,"=违纪违规扣分")</f>
        <v>0</v>
      </c>
      <c r="H17" s="6">
        <f>SUMIFS(德育素质!H:H,德育素质!B:B,B17,德育素质!D:D,"=荣誉称号加分")</f>
        <v>0</v>
      </c>
      <c r="I17" s="6">
        <f t="shared" si="0"/>
        <v>1</v>
      </c>
      <c r="J17" s="6">
        <f t="shared" si="1"/>
        <v>6.28</v>
      </c>
      <c r="K17" s="6">
        <f>(VLOOKUP(B17,智育素质!B:D,3,0)*10+50)*0.6</f>
        <v>49.541999999999994</v>
      </c>
      <c r="L17" s="6">
        <f>SUMIFS(体育素质!J:J,体育素质!B:B,B17,体育素质!D:D,"=体育课程成绩",体育素质!E:E,"=体育成绩")/40</f>
        <v>3.2299999999999995</v>
      </c>
      <c r="M17" s="6">
        <f>SUMIFS(体育素质!L:L,体育素质!B:B,B17,体育素质!D:D,"=校内外体育竞赛")</f>
        <v>0</v>
      </c>
      <c r="N17" s="6">
        <f>SUMIFS(体育素质!L:L,体育素质!B:B,B17,体育素质!D:D,"=校内外体育活动",体育素质!E:E,"=早锻炼")</f>
        <v>0</v>
      </c>
      <c r="O17" s="6">
        <f>SUMIFS(体育素质!L:L,体育素质!B:B,B17,体育素质!D:D,"=校内外体育活动",体育素质!E:E,"=校园跑")</f>
        <v>0.65927083333333325</v>
      </c>
      <c r="P17" s="6">
        <f t="shared" si="2"/>
        <v>0.65927083333333325</v>
      </c>
      <c r="Q17" s="6">
        <f t="shared" si="3"/>
        <v>3.8892708333333328</v>
      </c>
      <c r="R17" s="6">
        <f>MIN(0.5,SUMIFS(美育素质!L:L,美育素质!B:B,B17,美育素质!D:D,"=文化艺术实践"))</f>
        <v>0</v>
      </c>
      <c r="S17" s="6">
        <f>SUMIFS(美育素质!L:L,美育素质!B:B,B17,美育素质!D:D,"=校内外文化艺术竞赛")</f>
        <v>0</v>
      </c>
      <c r="T17" s="6">
        <f t="shared" si="4"/>
        <v>0</v>
      </c>
      <c r="U17" s="6">
        <f>MAX(1.21,SUMIFS(劳育素质!K:K,劳育素质!B:B,B17,劳育素质!D:D,"=劳动日常考核基础分")+SUMIFS(劳育素质!K:K,劳育素质!B:B,B17,劳育素质!D:D,"=活动与卫生加减分"))</f>
        <v>1.412222222222222</v>
      </c>
      <c r="V17" s="6">
        <f>SUMIFS(劳育素质!K:K,劳育素质!B:B,B17,劳育素质!D:D,"=志愿服务",劳育素质!F:F,"=A类+B类")</f>
        <v>0</v>
      </c>
      <c r="W17" s="6">
        <f>SUMIFS(劳育素质!K:K,劳育素质!B:B,B17,劳育素质!D:D,"=志愿服务",劳育素质!F:F,"=C类")</f>
        <v>0</v>
      </c>
      <c r="X17" s="6">
        <f t="shared" si="5"/>
        <v>0</v>
      </c>
      <c r="Y17" s="6">
        <f>SUMIFS(劳育素质!K:K,劳育素质!B:B,B17,劳育素质!D:D,"=实习实训")</f>
        <v>0</v>
      </c>
      <c r="Z17" s="6">
        <f t="shared" si="6"/>
        <v>1.412222222222222</v>
      </c>
      <c r="AA17" s="6">
        <f>SUMIFS(创新与实践素质!L:L,创新与实践素质!B:B,B17,创新与实践素质!D:D,"=创新创业素质")</f>
        <v>0</v>
      </c>
      <c r="AB17" s="6">
        <f>SUMIFS(创新与实践素质!L:L,创新与实践素质!B:B,B17,创新与实践素质!D:D,"=水平考试")</f>
        <v>0</v>
      </c>
      <c r="AC17" s="6">
        <f>SUMIFS(创新与实践素质!L:L,创新与实践素质!B:B,B17,创新与实践素质!D:D,"=社会实践")</f>
        <v>0</v>
      </c>
      <c r="AD17" s="6">
        <f>_xlfn.MAXIFS(创新与实践素质!L:L,创新与实践素质!B:B,B17,创新与实践素质!D:D,"=社会工作能力（工作表现）",创新与实践素质!G:G,"=上学期")+_xlfn.MAXIFS(创新与实践素质!L:L,创新与实践素质!B:B,B17,创新与实践素质!D:D,"=社会工作能力（工作表现）",创新与实践素质!G:G,"=下学期")</f>
        <v>0</v>
      </c>
      <c r="AE17" s="6">
        <f t="shared" si="7"/>
        <v>0</v>
      </c>
      <c r="AF17" s="6">
        <f t="shared" si="8"/>
        <v>61.123493055555549</v>
      </c>
    </row>
    <row r="18" spans="1:32" x14ac:dyDescent="0.3">
      <c r="A18" s="10" t="s">
        <v>59</v>
      </c>
      <c r="B18" s="10" t="s">
        <v>77</v>
      </c>
      <c r="C18" s="10"/>
      <c r="D18" s="6">
        <f>SUMIFS(德育素质!H:H,德育素质!B:B,B18,德育素质!D:D,"=基本评定分")</f>
        <v>5.28</v>
      </c>
      <c r="E18" s="6">
        <f>MIN(2,SUMIFS(德育素质!H:H,德育素质!A:A,A18,德育素质!D:D,"=集体评定等级分",德育素质!E:E,"=班级考评等级")+SUMIFS(德育素质!H:H,德育素质!B:B,B18,德育素质!D:D,"=集体评定等级分"))</f>
        <v>1</v>
      </c>
      <c r="F18" s="6">
        <f>MIN(2,SUMIFS(德育素质!H:H,德育素质!B:B,B18,德育素质!D:D,"=社会责任记实分"))</f>
        <v>0.1</v>
      </c>
      <c r="G18" s="6">
        <f>SUMIFS(德育素质!H:H,德育素质!B:B,B18,德育素质!D:D,"=违纪违规扣分")</f>
        <v>0</v>
      </c>
      <c r="H18" s="6">
        <f>SUMIFS(德育素质!H:H,德育素质!B:B,B18,德育素质!D:D,"=荣誉称号加分")</f>
        <v>0</v>
      </c>
      <c r="I18" s="6">
        <f t="shared" si="0"/>
        <v>1.1000000000000001</v>
      </c>
      <c r="J18" s="6">
        <f t="shared" si="1"/>
        <v>6.3800000000000008</v>
      </c>
      <c r="K18" s="6">
        <f>(VLOOKUP(B18,智育素质!B:D,3,0)*10+50)*0.6</f>
        <v>49.902000000000001</v>
      </c>
      <c r="L18" s="6">
        <f>SUMIFS(体育素质!J:J,体育素质!B:B,B18,体育素质!D:D,"=体育课程成绩",体育素质!E:E,"=体育成绩")/40</f>
        <v>3.25</v>
      </c>
      <c r="M18" s="6">
        <f>SUMIFS(体育素质!L:L,体育素质!B:B,B18,体育素质!D:D,"=校内外体育竞赛")</f>
        <v>0</v>
      </c>
      <c r="N18" s="6">
        <f>SUMIFS(体育素质!L:L,体育素质!B:B,B18,体育素质!D:D,"=校内外体育活动",体育素质!E:E,"=早锻炼")</f>
        <v>0</v>
      </c>
      <c r="O18" s="6">
        <f>SUMIFS(体育素质!L:L,体育素质!B:B,B18,体育素质!D:D,"=校内外体育活动",体育素质!E:E,"=校园跑")</f>
        <v>0.63541666666666674</v>
      </c>
      <c r="P18" s="6">
        <f t="shared" si="2"/>
        <v>0.63541666666666674</v>
      </c>
      <c r="Q18" s="6">
        <f t="shared" si="3"/>
        <v>3.885416666666667</v>
      </c>
      <c r="R18" s="6">
        <f>MIN(0.5,SUMIFS(美育素质!L:L,美育素质!B:B,B18,美育素质!D:D,"=文化艺术实践"))</f>
        <v>0</v>
      </c>
      <c r="S18" s="6">
        <f>SUMIFS(美育素质!L:L,美育素质!B:B,B18,美育素质!D:D,"=校内外文化艺术竞赛")</f>
        <v>0</v>
      </c>
      <c r="T18" s="6">
        <f t="shared" si="4"/>
        <v>0</v>
      </c>
      <c r="U18" s="6">
        <f>MAX(1.21,SUMIFS(劳育素质!K:K,劳育素质!B:B,B18,劳育素质!D:D,"=劳动日常考核基础分")+SUMIFS(劳育素质!K:K,劳育素质!B:B,B18,劳育素质!D:D,"=活动与卫生加减分"))</f>
        <v>1.4513888888888891</v>
      </c>
      <c r="V18" s="6">
        <f>SUMIFS(劳育素质!K:K,劳育素质!B:B,B18,劳育素质!D:D,"=志愿服务",劳育素质!F:F,"=A类+B类")</f>
        <v>0</v>
      </c>
      <c r="W18" s="6">
        <f>SUMIFS(劳育素质!K:K,劳育素质!B:B,B18,劳育素质!D:D,"=志愿服务",劳育素质!F:F,"=C类")</f>
        <v>0</v>
      </c>
      <c r="X18" s="6">
        <f t="shared" si="5"/>
        <v>0</v>
      </c>
      <c r="Y18" s="6">
        <f>SUMIFS(劳育素质!K:K,劳育素质!B:B,B18,劳育素质!D:D,"=实习实训")</f>
        <v>0</v>
      </c>
      <c r="Z18" s="6">
        <f t="shared" si="6"/>
        <v>1.4513888888888891</v>
      </c>
      <c r="AA18" s="6">
        <f>SUMIFS(创新与实践素质!L:L,创新与实践素质!B:B,B18,创新与实践素质!D:D,"=创新创业素质")</f>
        <v>0</v>
      </c>
      <c r="AB18" s="6">
        <f>SUMIFS(创新与实践素质!L:L,创新与实践素质!B:B,B18,创新与实践素质!D:D,"=水平考试")</f>
        <v>0</v>
      </c>
      <c r="AC18" s="6">
        <f>SUMIFS(创新与实践素质!L:L,创新与实践素质!B:B,B18,创新与实践素质!D:D,"=社会实践")</f>
        <v>0</v>
      </c>
      <c r="AD18" s="6">
        <f>_xlfn.MAXIFS(创新与实践素质!L:L,创新与实践素质!B:B,B18,创新与实践素质!D:D,"=社会工作能力（工作表现）",创新与实践素质!G:G,"=上学期")+_xlfn.MAXIFS(创新与实践素质!L:L,创新与实践素质!B:B,B18,创新与实践素质!D:D,"=社会工作能力（工作表现）",创新与实践素质!G:G,"=下学期")</f>
        <v>0</v>
      </c>
      <c r="AE18" s="6">
        <f t="shared" si="7"/>
        <v>0</v>
      </c>
      <c r="AF18" s="6">
        <f t="shared" si="8"/>
        <v>61.618805555555561</v>
      </c>
    </row>
    <row r="19" spans="1:32" x14ac:dyDescent="0.3">
      <c r="A19" s="10" t="s">
        <v>59</v>
      </c>
      <c r="B19" s="10" t="s">
        <v>78</v>
      </c>
      <c r="C19" s="10"/>
      <c r="D19" s="6">
        <f>SUMIFS(德育素质!H:H,德育素质!B:B,B19,德育素质!D:D,"=基本评定分")</f>
        <v>5.28</v>
      </c>
      <c r="E19" s="6">
        <f>MIN(2,SUMIFS(德育素质!H:H,德育素质!A:A,A19,德育素质!D:D,"=集体评定等级分",德育素质!E:E,"=班级考评等级")+SUMIFS(德育素质!H:H,德育素质!B:B,B19,德育素质!D:D,"=集体评定等级分"))</f>
        <v>1</v>
      </c>
      <c r="F19" s="6">
        <f>MIN(2,SUMIFS(德育素质!H:H,德育素质!B:B,B19,德育素质!D:D,"=社会责任记实分"))</f>
        <v>0</v>
      </c>
      <c r="G19" s="6">
        <f>SUMIFS(德育素质!H:H,德育素质!B:B,B19,德育素质!D:D,"=违纪违规扣分")</f>
        <v>0</v>
      </c>
      <c r="H19" s="6">
        <f>SUMIFS(德育素质!H:H,德育素质!B:B,B19,德育素质!D:D,"=荣誉称号加分")</f>
        <v>0</v>
      </c>
      <c r="I19" s="6">
        <f t="shared" si="0"/>
        <v>1</v>
      </c>
      <c r="J19" s="6">
        <f t="shared" si="1"/>
        <v>6.28</v>
      </c>
      <c r="K19" s="6">
        <f>(VLOOKUP(B19,智育素质!B:D,3,0)*10+50)*0.6</f>
        <v>49.35</v>
      </c>
      <c r="L19" s="6">
        <f>SUMIFS(体育素质!J:J,体育素质!B:B,B19,体育素质!D:D,"=体育课程成绩",体育素质!E:E,"=体育成绩")/40</f>
        <v>3.21</v>
      </c>
      <c r="M19" s="6">
        <f>SUMIFS(体育素质!L:L,体育素质!B:B,B19,体育素质!D:D,"=校内外体育竞赛")</f>
        <v>0</v>
      </c>
      <c r="N19" s="6">
        <f>SUMIFS(体育素质!L:L,体育素质!B:B,B19,体育素质!D:D,"=校内外体育活动",体育素质!E:E,"=早锻炼")</f>
        <v>0</v>
      </c>
      <c r="O19" s="6">
        <f>SUMIFS(体育素质!L:L,体育素质!B:B,B19,体育素质!D:D,"=校内外体育活动",体育素质!E:E,"=校园跑")</f>
        <v>0.63598958333333333</v>
      </c>
      <c r="P19" s="6">
        <f t="shared" si="2"/>
        <v>0.63598958333333333</v>
      </c>
      <c r="Q19" s="6">
        <f t="shared" si="3"/>
        <v>3.8459895833333331</v>
      </c>
      <c r="R19" s="6">
        <f>MIN(0.5,SUMIFS(美育素质!L:L,美育素质!B:B,B19,美育素质!D:D,"=文化艺术实践"))</f>
        <v>0</v>
      </c>
      <c r="S19" s="6">
        <f>SUMIFS(美育素质!L:L,美育素质!B:B,B19,美育素质!D:D,"=校内外文化艺术竞赛")</f>
        <v>0</v>
      </c>
      <c r="T19" s="6">
        <f t="shared" si="4"/>
        <v>0</v>
      </c>
      <c r="U19" s="6">
        <f>MAX(1.21,SUMIFS(劳育素质!K:K,劳育素质!B:B,B19,劳育素质!D:D,"=劳动日常考核基础分")+SUMIFS(劳育素质!K:K,劳育素质!B:B,B19,劳育素质!D:D,"=活动与卫生加减分"))</f>
        <v>1.4293333333333329</v>
      </c>
      <c r="V19" s="6">
        <f>SUMIFS(劳育素质!K:K,劳育素质!B:B,B19,劳育素质!D:D,"=志愿服务",劳育素质!F:F,"=A类+B类")</f>
        <v>0</v>
      </c>
      <c r="W19" s="6">
        <f>SUMIFS(劳育素质!K:K,劳育素质!B:B,B19,劳育素质!D:D,"=志愿服务",劳育素质!F:F,"=C类")</f>
        <v>0</v>
      </c>
      <c r="X19" s="6">
        <f t="shared" si="5"/>
        <v>0</v>
      </c>
      <c r="Y19" s="6">
        <f>SUMIFS(劳育素质!K:K,劳育素质!B:B,B19,劳育素质!D:D,"=实习实训")</f>
        <v>0</v>
      </c>
      <c r="Z19" s="6">
        <f t="shared" si="6"/>
        <v>1.4293333333333329</v>
      </c>
      <c r="AA19" s="6">
        <f>SUMIFS(创新与实践素质!L:L,创新与实践素质!B:B,B19,创新与实践素质!D:D,"=创新创业素质")</f>
        <v>0</v>
      </c>
      <c r="AB19" s="6">
        <f>SUMIFS(创新与实践素质!L:L,创新与实践素质!B:B,B19,创新与实践素质!D:D,"=水平考试")</f>
        <v>0</v>
      </c>
      <c r="AC19" s="6">
        <f>SUMIFS(创新与实践素质!L:L,创新与实践素质!B:B,B19,创新与实践素质!D:D,"=社会实践")</f>
        <v>0</v>
      </c>
      <c r="AD19" s="6">
        <f>_xlfn.MAXIFS(创新与实践素质!L:L,创新与实践素质!B:B,B19,创新与实践素质!D:D,"=社会工作能力（工作表现）",创新与实践素质!G:G,"=上学期")+_xlfn.MAXIFS(创新与实践素质!L:L,创新与实践素质!B:B,B19,创新与实践素质!D:D,"=社会工作能力（工作表现）",创新与实践素质!G:G,"=下学期")</f>
        <v>0</v>
      </c>
      <c r="AE19" s="6">
        <f t="shared" si="7"/>
        <v>0</v>
      </c>
      <c r="AF19" s="6">
        <f t="shared" si="8"/>
        <v>60.90532291666667</v>
      </c>
    </row>
    <row r="20" spans="1:32" x14ac:dyDescent="0.3">
      <c r="A20" s="10" t="s">
        <v>59</v>
      </c>
      <c r="B20" s="10" t="s">
        <v>79</v>
      </c>
      <c r="C20" s="10"/>
      <c r="D20" s="6">
        <f>SUMIFS(德育素质!H:H,德育素质!B:B,B20,德育素质!D:D,"=基本评定分")</f>
        <v>5.28</v>
      </c>
      <c r="E20" s="6">
        <f>MIN(2,SUMIFS(德育素质!H:H,德育素质!A:A,A20,德育素质!D:D,"=集体评定等级分",德育素质!E:E,"=班级考评等级")+SUMIFS(德育素质!H:H,德育素质!B:B,B20,德育素质!D:D,"=集体评定等级分"))</f>
        <v>1</v>
      </c>
      <c r="F20" s="6">
        <f>MIN(2,SUMIFS(德育素质!H:H,德育素质!B:B,B20,德育素质!D:D,"=社会责任记实分"))</f>
        <v>0</v>
      </c>
      <c r="G20" s="6">
        <f>SUMIFS(德育素质!H:H,德育素质!B:B,B20,德育素质!D:D,"=违纪违规扣分")</f>
        <v>0</v>
      </c>
      <c r="H20" s="6">
        <f>SUMIFS(德育素质!H:H,德育素质!B:B,B20,德育素质!D:D,"=荣誉称号加分")</f>
        <v>0</v>
      </c>
      <c r="I20" s="6">
        <f t="shared" si="0"/>
        <v>1</v>
      </c>
      <c r="J20" s="6">
        <f t="shared" si="1"/>
        <v>6.28</v>
      </c>
      <c r="K20" s="6">
        <f>(VLOOKUP(B20,智育素质!B:D,3,0)*10+50)*0.6</f>
        <v>47.454000000000001</v>
      </c>
      <c r="L20" s="6">
        <f>SUMIFS(体育素质!J:J,体育素质!B:B,B20,体育素质!D:D,"=体育课程成绩",体育素质!E:E,"=体育成绩")/40</f>
        <v>3.2600000000000002</v>
      </c>
      <c r="M20" s="6">
        <f>SUMIFS(体育素质!L:L,体育素质!B:B,B20,体育素质!D:D,"=校内外体育竞赛")</f>
        <v>0</v>
      </c>
      <c r="N20" s="6">
        <f>SUMIFS(体育素质!L:L,体育素质!B:B,B20,体育素质!D:D,"=校内外体育活动",体育素质!E:E,"=早锻炼")</f>
        <v>0</v>
      </c>
      <c r="O20" s="6">
        <f>SUMIFS(体育素质!L:L,体育素质!B:B,B20,体育素质!D:D,"=校内外体育活动",体育素质!E:E,"=校园跑")</f>
        <v>0.62651041666666674</v>
      </c>
      <c r="P20" s="6">
        <f t="shared" si="2"/>
        <v>0.62651041666666674</v>
      </c>
      <c r="Q20" s="6">
        <f t="shared" si="3"/>
        <v>3.8865104166666669</v>
      </c>
      <c r="R20" s="6">
        <f>MIN(0.5,SUMIFS(美育素质!L:L,美育素质!B:B,B20,美育素质!D:D,"=文化艺术实践"))</f>
        <v>0</v>
      </c>
      <c r="S20" s="6">
        <f>SUMIFS(美育素质!L:L,美育素质!B:B,B20,美育素质!D:D,"=校内外文化艺术竞赛")</f>
        <v>0</v>
      </c>
      <c r="T20" s="6">
        <f t="shared" si="4"/>
        <v>0</v>
      </c>
      <c r="U20" s="6">
        <f>MAX(1.21,SUMIFS(劳育素质!K:K,劳育素质!B:B,B20,劳育素质!D:D,"=劳动日常考核基础分")+SUMIFS(劳育素质!K:K,劳育素质!B:B,B20,劳育素质!D:D,"=活动与卫生加减分"))</f>
        <v>1.412222222222222</v>
      </c>
      <c r="V20" s="6">
        <f>SUMIFS(劳育素质!K:K,劳育素质!B:B,B20,劳育素质!D:D,"=志愿服务",劳育素质!F:F,"=A类+B类")</f>
        <v>0</v>
      </c>
      <c r="W20" s="6">
        <f>SUMIFS(劳育素质!K:K,劳育素质!B:B,B20,劳育素质!D:D,"=志愿服务",劳育素质!F:F,"=C类")</f>
        <v>0</v>
      </c>
      <c r="X20" s="6">
        <f t="shared" si="5"/>
        <v>0</v>
      </c>
      <c r="Y20" s="6">
        <f>SUMIFS(劳育素质!K:K,劳育素质!B:B,B20,劳育素质!D:D,"=实习实训")</f>
        <v>0</v>
      </c>
      <c r="Z20" s="6">
        <f t="shared" si="6"/>
        <v>1.412222222222222</v>
      </c>
      <c r="AA20" s="6">
        <f>SUMIFS(创新与实践素质!L:L,创新与实践素质!B:B,B20,创新与实践素质!D:D,"=创新创业素质")</f>
        <v>0</v>
      </c>
      <c r="AB20" s="6">
        <f>SUMIFS(创新与实践素质!L:L,创新与实践素质!B:B,B20,创新与实践素质!D:D,"=水平考试")</f>
        <v>0</v>
      </c>
      <c r="AC20" s="6">
        <f>SUMIFS(创新与实践素质!L:L,创新与实践素质!B:B,B20,创新与实践素质!D:D,"=社会实践")</f>
        <v>0</v>
      </c>
      <c r="AD20" s="6">
        <f>_xlfn.MAXIFS(创新与实践素质!L:L,创新与实践素质!B:B,B20,创新与实践素质!D:D,"=社会工作能力（工作表现）",创新与实践素质!G:G,"=上学期")+_xlfn.MAXIFS(创新与实践素质!L:L,创新与实践素质!B:B,B20,创新与实践素质!D:D,"=社会工作能力（工作表现）",创新与实践素质!G:G,"=下学期")</f>
        <v>0</v>
      </c>
      <c r="AE20" s="6">
        <f t="shared" si="7"/>
        <v>0</v>
      </c>
      <c r="AF20" s="6">
        <f t="shared" si="8"/>
        <v>59.032732638888888</v>
      </c>
    </row>
    <row r="21" spans="1:32" x14ac:dyDescent="0.3">
      <c r="A21" s="10" t="s">
        <v>59</v>
      </c>
      <c r="B21" s="10" t="s">
        <v>80</v>
      </c>
      <c r="C21" s="10"/>
      <c r="D21" s="6">
        <f>SUMIFS(德育素质!H:H,德育素质!B:B,B21,德育素质!D:D,"=基本评定分")</f>
        <v>5.28</v>
      </c>
      <c r="E21" s="6">
        <f>MIN(2,SUMIFS(德育素质!H:H,德育素质!A:A,A21,德育素质!D:D,"=集体评定等级分",德育素质!E:E,"=班级考评等级")+SUMIFS(德育素质!H:H,德育素质!B:B,B21,德育素质!D:D,"=集体评定等级分"))</f>
        <v>1</v>
      </c>
      <c r="F21" s="6">
        <f>MIN(2,SUMIFS(德育素质!H:H,德育素质!B:B,B21,德育素质!D:D,"=社会责任记实分"))</f>
        <v>0</v>
      </c>
      <c r="G21" s="6">
        <f>SUMIFS(德育素质!H:H,德育素质!B:B,B21,德育素质!D:D,"=违纪违规扣分")</f>
        <v>0</v>
      </c>
      <c r="H21" s="6">
        <f>SUMIFS(德育素质!H:H,德育素质!B:B,B21,德育素质!D:D,"=荣誉称号加分")</f>
        <v>0</v>
      </c>
      <c r="I21" s="6">
        <f t="shared" si="0"/>
        <v>1</v>
      </c>
      <c r="J21" s="6">
        <f t="shared" si="1"/>
        <v>6.28</v>
      </c>
      <c r="K21" s="6">
        <f>(VLOOKUP(B21,智育素质!B:D,3,0)*10+50)*0.6</f>
        <v>46.691999999999993</v>
      </c>
      <c r="L21" s="6">
        <f>SUMIFS(体育素质!J:J,体育素质!B:B,B21,体育素质!D:D,"=体育课程成绩",体育素质!E:E,"=体育成绩")/40</f>
        <v>3.9799999999999995</v>
      </c>
      <c r="M21" s="6">
        <f>SUMIFS(体育素质!L:L,体育素质!B:B,B21,体育素质!D:D,"=校内外体育竞赛")</f>
        <v>0</v>
      </c>
      <c r="N21" s="6">
        <f>SUMIFS(体育素质!L:L,体育素质!B:B,B21,体育素质!D:D,"=校内外体育活动",体育素质!E:E,"=早锻炼")</f>
        <v>0</v>
      </c>
      <c r="O21" s="6">
        <f>SUMIFS(体育素质!L:L,体育素质!B:B,B21,体育素质!D:D,"=校内外体育活动",体育素质!E:E,"=校园跑")</f>
        <v>0.76718750000000002</v>
      </c>
      <c r="P21" s="6">
        <f t="shared" si="2"/>
        <v>0.76718750000000002</v>
      </c>
      <c r="Q21" s="6">
        <f t="shared" si="3"/>
        <v>4.7471874999999999</v>
      </c>
      <c r="R21" s="6">
        <f>MIN(0.5,SUMIFS(美育素质!L:L,美育素质!B:B,B21,美育素质!D:D,"=文化艺术实践"))</f>
        <v>0</v>
      </c>
      <c r="S21" s="6">
        <f>SUMIFS(美育素质!L:L,美育素质!B:B,B21,美育素质!D:D,"=校内外文化艺术竞赛")</f>
        <v>0</v>
      </c>
      <c r="T21" s="6">
        <f t="shared" si="4"/>
        <v>0</v>
      </c>
      <c r="U21" s="6">
        <f>MAX(1.21,SUMIFS(劳育素质!K:K,劳育素质!B:B,B21,劳育素质!D:D,"=劳动日常考核基础分")+SUMIFS(劳育素质!K:K,劳育素质!B:B,B21,劳育素质!D:D,"=活动与卫生加减分"))</f>
        <v>1.541733333333333</v>
      </c>
      <c r="V21" s="6">
        <f>SUMIFS(劳育素质!K:K,劳育素质!B:B,B21,劳育素质!D:D,"=志愿服务",劳育素质!F:F,"=A类+B类")</f>
        <v>0</v>
      </c>
      <c r="W21" s="6">
        <f>SUMIFS(劳育素质!K:K,劳育素质!B:B,B21,劳育素质!D:D,"=志愿服务",劳育素质!F:F,"=C类")</f>
        <v>0</v>
      </c>
      <c r="X21" s="6">
        <f t="shared" si="5"/>
        <v>0</v>
      </c>
      <c r="Y21" s="6">
        <f>SUMIFS(劳育素质!K:K,劳育素质!B:B,B21,劳育素质!D:D,"=实习实训")</f>
        <v>0</v>
      </c>
      <c r="Z21" s="6">
        <f t="shared" si="6"/>
        <v>1.541733333333333</v>
      </c>
      <c r="AA21" s="6">
        <f>SUMIFS(创新与实践素质!L:L,创新与实践素质!B:B,B21,创新与实践素质!D:D,"=创新创业素质")</f>
        <v>0</v>
      </c>
      <c r="AB21" s="6">
        <f>SUMIFS(创新与实践素质!L:L,创新与实践素质!B:B,B21,创新与实践素质!D:D,"=水平考试")</f>
        <v>0</v>
      </c>
      <c r="AC21" s="6">
        <f>SUMIFS(创新与实践素质!L:L,创新与实践素质!B:B,B21,创新与实践素质!D:D,"=社会实践")</f>
        <v>0</v>
      </c>
      <c r="AD21" s="6">
        <f>_xlfn.MAXIFS(创新与实践素质!L:L,创新与实践素质!B:B,B21,创新与实践素质!D:D,"=社会工作能力（工作表现）",创新与实践素质!G:G,"=上学期")+_xlfn.MAXIFS(创新与实践素质!L:L,创新与实践素质!B:B,B21,创新与实践素质!D:D,"=社会工作能力（工作表现）",创新与实践素质!G:G,"=下学期")</f>
        <v>0</v>
      </c>
      <c r="AE21" s="6">
        <f t="shared" si="7"/>
        <v>0</v>
      </c>
      <c r="AF21" s="6">
        <f t="shared" si="8"/>
        <v>59.26092083333333</v>
      </c>
    </row>
    <row r="22" spans="1:32" x14ac:dyDescent="0.3">
      <c r="A22" s="10" t="s">
        <v>59</v>
      </c>
      <c r="B22" s="10" t="s">
        <v>81</v>
      </c>
      <c r="C22" s="10"/>
      <c r="D22" s="6">
        <f>SUMIFS(德育素质!H:H,德育素质!B:B,B22,德育素质!D:D,"=基本评定分")</f>
        <v>5.28</v>
      </c>
      <c r="E22" s="6">
        <f>MIN(2,SUMIFS(德育素质!H:H,德育素质!A:A,A22,德育素质!D:D,"=集体评定等级分",德育素质!E:E,"=班级考评等级")+SUMIFS(德育素质!H:H,德育素质!B:B,B22,德育素质!D:D,"=集体评定等级分"))</f>
        <v>1</v>
      </c>
      <c r="F22" s="6">
        <f>MIN(2,SUMIFS(德育素质!H:H,德育素质!B:B,B22,德育素质!D:D,"=社会责任记实分"))</f>
        <v>0</v>
      </c>
      <c r="G22" s="6">
        <f>SUMIFS(德育素质!H:H,德育素质!B:B,B22,德育素质!D:D,"=违纪违规扣分")</f>
        <v>0</v>
      </c>
      <c r="H22" s="6">
        <f>SUMIFS(德育素质!H:H,德育素质!B:B,B22,德育素质!D:D,"=荣誉称号加分")</f>
        <v>0</v>
      </c>
      <c r="I22" s="6">
        <f t="shared" si="0"/>
        <v>1</v>
      </c>
      <c r="J22" s="6">
        <f t="shared" si="1"/>
        <v>6.28</v>
      </c>
      <c r="K22" s="6">
        <f>(VLOOKUP(B22,智育素质!B:D,3,0)*10+50)*0.6</f>
        <v>48.108000000000004</v>
      </c>
      <c r="L22" s="6">
        <f>SUMIFS(体育素质!J:J,体育素质!B:B,B22,体育素质!D:D,"=体育课程成绩",体育素质!E:E,"=体育成绩")/40</f>
        <v>3.7749999999999999</v>
      </c>
      <c r="M22" s="6">
        <f>SUMIFS(体育素质!L:L,体育素质!B:B,B22,体育素质!D:D,"=校内外体育竞赛")</f>
        <v>0</v>
      </c>
      <c r="N22" s="6">
        <f>SUMIFS(体育素质!L:L,体育素质!B:B,B22,体育素质!D:D,"=校内外体育活动",体育素质!E:E,"=早锻炼")</f>
        <v>0</v>
      </c>
      <c r="O22" s="6">
        <f>SUMIFS(体育素质!L:L,体育素质!B:B,B22,体育素质!D:D,"=校内外体育活动",体育素质!E:E,"=校园跑")</f>
        <v>1</v>
      </c>
      <c r="P22" s="6">
        <f t="shared" si="2"/>
        <v>1</v>
      </c>
      <c r="Q22" s="6">
        <f t="shared" si="3"/>
        <v>4.7750000000000004</v>
      </c>
      <c r="R22" s="6">
        <f>MIN(0.5,SUMIFS(美育素质!L:L,美育素质!B:B,B22,美育素质!D:D,"=文化艺术实践"))</f>
        <v>0</v>
      </c>
      <c r="S22" s="6">
        <f>SUMIFS(美育素质!L:L,美育素质!B:B,B22,美育素质!D:D,"=校内外文化艺术竞赛")</f>
        <v>0</v>
      </c>
      <c r="T22" s="6">
        <f t="shared" si="4"/>
        <v>0</v>
      </c>
      <c r="U22" s="6">
        <f>MAX(1.21,SUMIFS(劳育素质!K:K,劳育素质!B:B,B22,劳育素质!D:D,"=劳动日常考核基础分")+SUMIFS(劳育素质!K:K,劳育素质!B:B,B22,劳育素质!D:D,"=活动与卫生加减分"))</f>
        <v>1.3895</v>
      </c>
      <c r="V22" s="6">
        <f>SUMIFS(劳育素质!K:K,劳育素质!B:B,B22,劳育素质!D:D,"=志愿服务",劳育素质!F:F,"=A类+B类")</f>
        <v>0</v>
      </c>
      <c r="W22" s="6">
        <f>SUMIFS(劳育素质!K:K,劳育素质!B:B,B22,劳育素质!D:D,"=志愿服务",劳育素质!F:F,"=C类")</f>
        <v>0</v>
      </c>
      <c r="X22" s="6">
        <f t="shared" si="5"/>
        <v>0</v>
      </c>
      <c r="Y22" s="6">
        <f>SUMIFS(劳育素质!K:K,劳育素质!B:B,B22,劳育素质!D:D,"=实习实训")</f>
        <v>0</v>
      </c>
      <c r="Z22" s="6">
        <f t="shared" si="6"/>
        <v>1.3895</v>
      </c>
      <c r="AA22" s="6">
        <f>SUMIFS(创新与实践素质!L:L,创新与实践素质!B:B,B22,创新与实践素质!D:D,"=创新创业素质")</f>
        <v>0</v>
      </c>
      <c r="AB22" s="6">
        <f>SUMIFS(创新与实践素质!L:L,创新与实践素质!B:B,B22,创新与实践素质!D:D,"=水平考试")</f>
        <v>0</v>
      </c>
      <c r="AC22" s="6">
        <f>SUMIFS(创新与实践素质!L:L,创新与实践素质!B:B,B22,创新与实践素质!D:D,"=社会实践")</f>
        <v>0</v>
      </c>
      <c r="AD22" s="6">
        <f>_xlfn.MAXIFS(创新与实践素质!L:L,创新与实践素质!B:B,B22,创新与实践素质!D:D,"=社会工作能力（工作表现）",创新与实践素质!G:G,"=上学期")+_xlfn.MAXIFS(创新与实践素质!L:L,创新与实践素质!B:B,B22,创新与实践素质!D:D,"=社会工作能力（工作表现）",创新与实践素质!G:G,"=下学期")</f>
        <v>0</v>
      </c>
      <c r="AE22" s="6">
        <f t="shared" si="7"/>
        <v>0</v>
      </c>
      <c r="AF22" s="6">
        <f t="shared" si="8"/>
        <v>60.552500000000009</v>
      </c>
    </row>
    <row r="23" spans="1:32" x14ac:dyDescent="0.3">
      <c r="A23" s="10" t="s">
        <v>59</v>
      </c>
      <c r="B23" s="10" t="s">
        <v>82</v>
      </c>
      <c r="C23" s="10"/>
      <c r="D23" s="6">
        <f>SUMIFS(德育素质!H:H,德育素质!B:B,B23,德育素质!D:D,"=基本评定分")</f>
        <v>5.28</v>
      </c>
      <c r="E23" s="6">
        <f>MIN(2,SUMIFS(德育素质!H:H,德育素质!A:A,A23,德育素质!D:D,"=集体评定等级分",德育素质!E:E,"=班级考评等级")+SUMIFS(德育素质!H:H,德育素质!B:B,B23,德育素质!D:D,"=集体评定等级分"))</f>
        <v>1</v>
      </c>
      <c r="F23" s="6">
        <f>MIN(2,SUMIFS(德育素质!H:H,德育素质!B:B,B23,德育素质!D:D,"=社会责任记实分"))</f>
        <v>0</v>
      </c>
      <c r="G23" s="6">
        <f>SUMIFS(德育素质!H:H,德育素质!B:B,B23,德育素质!D:D,"=违纪违规扣分")</f>
        <v>0</v>
      </c>
      <c r="H23" s="6">
        <f>SUMIFS(德育素质!H:H,德育素质!B:B,B23,德育素质!D:D,"=荣誉称号加分")</f>
        <v>0</v>
      </c>
      <c r="I23" s="6">
        <f t="shared" si="0"/>
        <v>1</v>
      </c>
      <c r="J23" s="6">
        <f t="shared" si="1"/>
        <v>6.28</v>
      </c>
      <c r="K23" s="6">
        <f>(VLOOKUP(B23,智育素质!B:D,3,0)*10+50)*0.6</f>
        <v>46.433999999999997</v>
      </c>
      <c r="L23" s="6">
        <f>SUMIFS(体育素质!J:J,体育素质!B:B,B23,体育素质!D:D,"=体育课程成绩",体育素质!E:E,"=体育成绩")/40</f>
        <v>3.55</v>
      </c>
      <c r="M23" s="6">
        <f>SUMIFS(体育素质!L:L,体育素质!B:B,B23,体育素质!D:D,"=校内外体育竞赛")</f>
        <v>0</v>
      </c>
      <c r="N23" s="6">
        <f>SUMIFS(体育素质!L:L,体育素质!B:B,B23,体育素质!D:D,"=校内外体育活动",体育素质!E:E,"=早锻炼")</f>
        <v>0</v>
      </c>
      <c r="O23" s="6">
        <f>SUMIFS(体育素质!L:L,体育素质!B:B,B23,体育素质!D:D,"=校内外体育活动",体育素质!E:E,"=校园跑")</f>
        <v>0.66693749999999996</v>
      </c>
      <c r="P23" s="6">
        <f t="shared" si="2"/>
        <v>0.66693749999999996</v>
      </c>
      <c r="Q23" s="6">
        <f t="shared" si="3"/>
        <v>4.2169375000000002</v>
      </c>
      <c r="R23" s="6">
        <f>MIN(0.5,SUMIFS(美育素质!L:L,美育素质!B:B,B23,美育素质!D:D,"=文化艺术实践"))</f>
        <v>0</v>
      </c>
      <c r="S23" s="6">
        <f>SUMIFS(美育素质!L:L,美育素质!B:B,B23,美育素质!D:D,"=校内外文化艺术竞赛")</f>
        <v>0</v>
      </c>
      <c r="T23" s="6">
        <f t="shared" si="4"/>
        <v>0</v>
      </c>
      <c r="U23" s="6">
        <f>MAX(1.21,SUMIFS(劳育素质!K:K,劳育素质!B:B,B23,劳育素质!D:D,"=劳动日常考核基础分")+SUMIFS(劳育素质!K:K,劳育素质!B:B,B23,劳育素质!D:D,"=活动与卫生加减分"))</f>
        <v>1.541733333333333</v>
      </c>
      <c r="V23" s="6">
        <f>SUMIFS(劳育素质!K:K,劳育素质!B:B,B23,劳育素质!D:D,"=志愿服务",劳育素质!F:F,"=A类+B类")</f>
        <v>0</v>
      </c>
      <c r="W23" s="6">
        <f>SUMIFS(劳育素质!K:K,劳育素质!B:B,B23,劳育素质!D:D,"=志愿服务",劳育素质!F:F,"=C类")</f>
        <v>0</v>
      </c>
      <c r="X23" s="6">
        <f t="shared" si="5"/>
        <v>0</v>
      </c>
      <c r="Y23" s="6">
        <f>SUMIFS(劳育素质!K:K,劳育素质!B:B,B23,劳育素质!D:D,"=实习实训")</f>
        <v>0</v>
      </c>
      <c r="Z23" s="6">
        <f t="shared" si="6"/>
        <v>1.541733333333333</v>
      </c>
      <c r="AA23" s="6">
        <f>SUMIFS(创新与实践素质!L:L,创新与实践素质!B:B,B23,创新与实践素质!D:D,"=创新创业素质")</f>
        <v>0</v>
      </c>
      <c r="AB23" s="6">
        <f>SUMIFS(创新与实践素质!L:L,创新与实践素质!B:B,B23,创新与实践素质!D:D,"=水平考试")</f>
        <v>0</v>
      </c>
      <c r="AC23" s="6">
        <f>SUMIFS(创新与实践素质!L:L,创新与实践素质!B:B,B23,创新与实践素质!D:D,"=社会实践")</f>
        <v>0</v>
      </c>
      <c r="AD23" s="6">
        <f>_xlfn.MAXIFS(创新与实践素质!L:L,创新与实践素质!B:B,B23,创新与实践素质!D:D,"=社会工作能力（工作表现）",创新与实践素质!G:G,"=上学期")+_xlfn.MAXIFS(创新与实践素质!L:L,创新与实践素质!B:B,B23,创新与实践素质!D:D,"=社会工作能力（工作表现）",创新与实践素质!G:G,"=下学期")</f>
        <v>0</v>
      </c>
      <c r="AE23" s="6">
        <f t="shared" si="7"/>
        <v>0</v>
      </c>
      <c r="AF23" s="6">
        <f t="shared" si="8"/>
        <v>58.472670833333332</v>
      </c>
    </row>
    <row r="24" spans="1:32" x14ac:dyDescent="0.3">
      <c r="A24" s="10" t="s">
        <v>59</v>
      </c>
      <c r="B24" s="10" t="s">
        <v>83</v>
      </c>
      <c r="C24" s="10"/>
      <c r="D24" s="6">
        <f>SUMIFS(德育素质!H:H,德育素质!B:B,B24,德育素质!D:D,"=基本评定分")</f>
        <v>5.28</v>
      </c>
      <c r="E24" s="6">
        <f>MIN(2,SUMIFS(德育素质!H:H,德育素质!A:A,A24,德育素质!D:D,"=集体评定等级分",德育素质!E:E,"=班级考评等级")+SUMIFS(德育素质!H:H,德育素质!B:B,B24,德育素质!D:D,"=集体评定等级分"))</f>
        <v>1</v>
      </c>
      <c r="F24" s="6">
        <f>MIN(2,SUMIFS(德育素质!H:H,德育素质!B:B,B24,德育素质!D:D,"=社会责任记实分"))</f>
        <v>0</v>
      </c>
      <c r="G24" s="6">
        <f>SUMIFS(德育素质!H:H,德育素质!B:B,B24,德育素质!D:D,"=违纪违规扣分")</f>
        <v>0</v>
      </c>
      <c r="H24" s="6">
        <f>SUMIFS(德育素质!H:H,德育素质!B:B,B24,德育素质!D:D,"=荣誉称号加分")</f>
        <v>0</v>
      </c>
      <c r="I24" s="6">
        <f t="shared" si="0"/>
        <v>1</v>
      </c>
      <c r="J24" s="6">
        <f t="shared" si="1"/>
        <v>6.28</v>
      </c>
      <c r="K24" s="6">
        <f>(VLOOKUP(B24,智育素质!B:D,3,0)*10+50)*0.6</f>
        <v>47.43</v>
      </c>
      <c r="L24" s="6">
        <f>SUMIFS(体育素质!J:J,体育素质!B:B,B24,体育素质!D:D,"=体育课程成绩",体育素质!E:E,"=体育成绩")/40</f>
        <v>3.5249999999999999</v>
      </c>
      <c r="M24" s="6">
        <f>SUMIFS(体育素质!L:L,体育素质!B:B,B24,体育素质!D:D,"=校内外体育竞赛")</f>
        <v>0</v>
      </c>
      <c r="N24" s="6">
        <f>SUMIFS(体育素质!L:L,体育素质!B:B,B24,体育素质!D:D,"=校内外体育活动",体育素质!E:E,"=早锻炼")</f>
        <v>0</v>
      </c>
      <c r="O24" s="6">
        <f>SUMIFS(体育素质!L:L,体育素质!B:B,B24,体育素质!D:D,"=校内外体育活动",体育素质!E:E,"=校园跑")</f>
        <v>0.62520833333333337</v>
      </c>
      <c r="P24" s="6">
        <f t="shared" si="2"/>
        <v>0.62520833333333337</v>
      </c>
      <c r="Q24" s="6">
        <f t="shared" si="3"/>
        <v>4.1502083333333335</v>
      </c>
      <c r="R24" s="6">
        <f>MIN(0.5,SUMIFS(美育素质!L:L,美育素质!B:B,B24,美育素质!D:D,"=文化艺术实践"))</f>
        <v>0</v>
      </c>
      <c r="S24" s="6">
        <f>SUMIFS(美育素质!L:L,美育素质!B:B,B24,美育素质!D:D,"=校内外文化艺术竞赛")</f>
        <v>0</v>
      </c>
      <c r="T24" s="6">
        <f t="shared" si="4"/>
        <v>0</v>
      </c>
      <c r="U24" s="6">
        <f>MAX(1.21,SUMIFS(劳育素质!K:K,劳育素质!B:B,B24,劳育素质!D:D,"=劳动日常考核基础分")+SUMIFS(劳育素质!K:K,劳育素质!B:B,B24,劳育素质!D:D,"=活动与卫生加减分"))</f>
        <v>1.412222222222222</v>
      </c>
      <c r="V24" s="6">
        <f>SUMIFS(劳育素质!K:K,劳育素质!B:B,B24,劳育素质!D:D,"=志愿服务",劳育素质!F:F,"=A类+B类")</f>
        <v>0</v>
      </c>
      <c r="W24" s="6">
        <f>SUMIFS(劳育素质!K:K,劳育素质!B:B,B24,劳育素质!D:D,"=志愿服务",劳育素质!F:F,"=C类")</f>
        <v>0</v>
      </c>
      <c r="X24" s="6">
        <f t="shared" si="5"/>
        <v>0</v>
      </c>
      <c r="Y24" s="6">
        <f>SUMIFS(劳育素质!K:K,劳育素质!B:B,B24,劳育素质!D:D,"=实习实训")</f>
        <v>0</v>
      </c>
      <c r="Z24" s="6">
        <f t="shared" si="6"/>
        <v>1.412222222222222</v>
      </c>
      <c r="AA24" s="6">
        <f>SUMIFS(创新与实践素质!L:L,创新与实践素质!B:B,B24,创新与实践素质!D:D,"=创新创业素质")</f>
        <v>0</v>
      </c>
      <c r="AB24" s="6">
        <f>SUMIFS(创新与实践素质!L:L,创新与实践素质!B:B,B24,创新与实践素质!D:D,"=水平考试")</f>
        <v>0</v>
      </c>
      <c r="AC24" s="6">
        <f>SUMIFS(创新与实践素质!L:L,创新与实践素质!B:B,B24,创新与实践素质!D:D,"=社会实践")</f>
        <v>0</v>
      </c>
      <c r="AD24" s="6">
        <f>_xlfn.MAXIFS(创新与实践素质!L:L,创新与实践素质!B:B,B24,创新与实践素质!D:D,"=社会工作能力（工作表现）",创新与实践素质!G:G,"=上学期")+_xlfn.MAXIFS(创新与实践素质!L:L,创新与实践素质!B:B,B24,创新与实践素质!D:D,"=社会工作能力（工作表现）",创新与实践素质!G:G,"=下学期")</f>
        <v>0</v>
      </c>
      <c r="AE24" s="6">
        <f t="shared" si="7"/>
        <v>0</v>
      </c>
      <c r="AF24" s="6">
        <f t="shared" si="8"/>
        <v>59.272430555555559</v>
      </c>
    </row>
    <row r="25" spans="1:32" x14ac:dyDescent="0.3">
      <c r="A25" s="10" t="s">
        <v>59</v>
      </c>
      <c r="B25" s="10" t="s">
        <v>84</v>
      </c>
      <c r="C25" s="10"/>
      <c r="D25" s="6">
        <f>SUMIFS(德育素质!H:H,德育素质!B:B,B25,德育素质!D:D,"=基本评定分")</f>
        <v>5.28</v>
      </c>
      <c r="E25" s="6">
        <f>MIN(2,SUMIFS(德育素质!H:H,德育素质!A:A,A25,德育素质!D:D,"=集体评定等级分",德育素质!E:E,"=班级考评等级")+SUMIFS(德育素质!H:H,德育素质!B:B,B25,德育素质!D:D,"=集体评定等级分"))</f>
        <v>1</v>
      </c>
      <c r="F25" s="6">
        <f>MIN(2,SUMIFS(德育素质!H:H,德育素质!B:B,B25,德育素质!D:D,"=社会责任记实分"))</f>
        <v>0</v>
      </c>
      <c r="G25" s="6">
        <f>SUMIFS(德育素质!H:H,德育素质!B:B,B25,德育素质!D:D,"=违纪违规扣分")</f>
        <v>0</v>
      </c>
      <c r="H25" s="6">
        <f>SUMIFS(德育素质!H:H,德育素质!B:B,B25,德育素质!D:D,"=荣誉称号加分")</f>
        <v>0</v>
      </c>
      <c r="I25" s="6">
        <f t="shared" si="0"/>
        <v>1</v>
      </c>
      <c r="J25" s="6">
        <f t="shared" si="1"/>
        <v>6.28</v>
      </c>
      <c r="K25" s="6">
        <f>(VLOOKUP(B25,智育素质!B:D,3,0)*10+50)*0.6</f>
        <v>47.861999999999995</v>
      </c>
      <c r="L25" s="6">
        <f>SUMIFS(体育素质!J:J,体育素质!B:B,B25,体育素质!D:D,"=体育课程成绩",体育素质!E:E,"=体育成绩")/40</f>
        <v>3.72</v>
      </c>
      <c r="M25" s="6">
        <f>SUMIFS(体育素质!L:L,体育素质!B:B,B25,体育素质!D:D,"=校内外体育竞赛")</f>
        <v>0</v>
      </c>
      <c r="N25" s="6">
        <f>SUMIFS(体育素质!L:L,体育素质!B:B,B25,体育素质!D:D,"=校内外体育活动",体育素质!E:E,"=早锻炼")</f>
        <v>0</v>
      </c>
      <c r="O25" s="6">
        <f>SUMIFS(体育素质!L:L,体育素质!B:B,B25,体育素质!D:D,"=校内外体育活动",体育素质!E:E,"=校园跑")</f>
        <v>0.75359375000000006</v>
      </c>
      <c r="P25" s="6">
        <f t="shared" si="2"/>
        <v>0.75359375000000006</v>
      </c>
      <c r="Q25" s="6">
        <f t="shared" si="3"/>
        <v>4.47359375</v>
      </c>
      <c r="R25" s="6">
        <f>MIN(0.5,SUMIFS(美育素质!L:L,美育素质!B:B,B25,美育素质!D:D,"=文化艺术实践"))</f>
        <v>0</v>
      </c>
      <c r="S25" s="6">
        <f>SUMIFS(美育素质!L:L,美育素质!B:B,B25,美育素质!D:D,"=校内外文化艺术竞赛")</f>
        <v>0</v>
      </c>
      <c r="T25" s="6">
        <f t="shared" si="4"/>
        <v>0</v>
      </c>
      <c r="U25" s="6">
        <f>MAX(1.21,SUMIFS(劳育素质!K:K,劳育素质!B:B,B25,劳育素质!D:D,"=劳动日常考核基础分")+SUMIFS(劳育素质!K:K,劳育素质!B:B,B25,劳育素质!D:D,"=活动与卫生加减分"))</f>
        <v>1.412222222222222</v>
      </c>
      <c r="V25" s="6">
        <f>SUMIFS(劳育素质!K:K,劳育素质!B:B,B25,劳育素质!D:D,"=志愿服务",劳育素质!F:F,"=A类+B类")</f>
        <v>0</v>
      </c>
      <c r="W25" s="6">
        <f>SUMIFS(劳育素质!K:K,劳育素质!B:B,B25,劳育素质!D:D,"=志愿服务",劳育素质!F:F,"=C类")</f>
        <v>0</v>
      </c>
      <c r="X25" s="6">
        <f t="shared" si="5"/>
        <v>0</v>
      </c>
      <c r="Y25" s="6">
        <f>SUMIFS(劳育素质!K:K,劳育素质!B:B,B25,劳育素质!D:D,"=实习实训")</f>
        <v>0</v>
      </c>
      <c r="Z25" s="6">
        <f t="shared" si="6"/>
        <v>1.412222222222222</v>
      </c>
      <c r="AA25" s="6">
        <f>SUMIFS(创新与实践素质!L:L,创新与实践素质!B:B,B25,创新与实践素质!D:D,"=创新创业素质")</f>
        <v>0</v>
      </c>
      <c r="AB25" s="6">
        <f>SUMIFS(创新与实践素质!L:L,创新与实践素质!B:B,B25,创新与实践素质!D:D,"=水平考试")</f>
        <v>0</v>
      </c>
      <c r="AC25" s="6">
        <f>SUMIFS(创新与实践素质!L:L,创新与实践素质!B:B,B25,创新与实践素质!D:D,"=社会实践")</f>
        <v>0</v>
      </c>
      <c r="AD25" s="6">
        <f>_xlfn.MAXIFS(创新与实践素质!L:L,创新与实践素质!B:B,B25,创新与实践素质!D:D,"=社会工作能力（工作表现）",创新与实践素质!G:G,"=上学期")+_xlfn.MAXIFS(创新与实践素质!L:L,创新与实践素质!B:B,B25,创新与实践素质!D:D,"=社会工作能力（工作表现）",创新与实践素质!G:G,"=下学期")</f>
        <v>0</v>
      </c>
      <c r="AE25" s="6">
        <f t="shared" si="7"/>
        <v>0</v>
      </c>
      <c r="AF25" s="6">
        <f t="shared" si="8"/>
        <v>60.027815972222214</v>
      </c>
    </row>
    <row r="26" spans="1:32" x14ac:dyDescent="0.3">
      <c r="A26" s="10" t="s">
        <v>59</v>
      </c>
      <c r="B26" s="10" t="s">
        <v>85</v>
      </c>
      <c r="C26" s="10"/>
      <c r="D26" s="6">
        <f>SUMIFS(德育素质!H:H,德育素质!B:B,B26,德育素质!D:D,"=基本评定分")</f>
        <v>6</v>
      </c>
      <c r="E26" s="6">
        <f>MIN(2,SUMIFS(德育素质!H:H,德育素质!A:A,A26,德育素质!D:D,"=集体评定等级分",德育素质!E:E,"=班级考评等级")+SUMIFS(德育素质!H:H,德育素质!B:B,B26,德育素质!D:D,"=集体评定等级分"))</f>
        <v>1</v>
      </c>
      <c r="F26" s="6">
        <f>MIN(2,SUMIFS(德育素质!H:H,德育素质!B:B,B26,德育素质!D:D,"=社会责任记实分"))</f>
        <v>0</v>
      </c>
      <c r="G26" s="6">
        <f>SUMIFS(德育素质!H:H,德育素质!B:B,B26,德育素质!D:D,"=违纪违规扣分")</f>
        <v>0</v>
      </c>
      <c r="H26" s="6">
        <f>SUMIFS(德育素质!H:H,德育素质!B:B,B26,德育素质!D:D,"=荣誉称号加分")</f>
        <v>0</v>
      </c>
      <c r="I26" s="6">
        <f t="shared" si="0"/>
        <v>1</v>
      </c>
      <c r="J26" s="6">
        <f t="shared" si="1"/>
        <v>7</v>
      </c>
      <c r="K26" s="6">
        <f>(VLOOKUP(B26,智育素质!B:D,3,0)*10+50)*0.6</f>
        <v>48.527999999999999</v>
      </c>
      <c r="L26" s="6">
        <f>SUMIFS(体育素质!J:J,体育素质!B:B,B26,体育素质!D:D,"=体育课程成绩",体育素质!E:E,"=体育成绩")/40</f>
        <v>3.19</v>
      </c>
      <c r="M26" s="6">
        <f>SUMIFS(体育素质!L:L,体育素质!B:B,B26,体育素质!D:D,"=校内外体育竞赛")</f>
        <v>0</v>
      </c>
      <c r="N26" s="6">
        <f>SUMIFS(体育素质!L:L,体育素质!B:B,B26,体育素质!D:D,"=校内外体育活动",体育素质!E:E,"=早锻炼")</f>
        <v>0</v>
      </c>
      <c r="O26" s="6">
        <f>SUMIFS(体育素质!L:L,体育素质!B:B,B26,体育素质!D:D,"=校内外体育活动",体育素质!E:E,"=校园跑")</f>
        <v>0.66338541666666662</v>
      </c>
      <c r="P26" s="6">
        <f t="shared" si="2"/>
        <v>0.66338541666666662</v>
      </c>
      <c r="Q26" s="6">
        <f t="shared" si="3"/>
        <v>3.8533854166666668</v>
      </c>
      <c r="R26" s="6">
        <f>MIN(0.5,SUMIFS(美育素质!L:L,美育素质!B:B,B26,美育素质!D:D,"=文化艺术实践"))</f>
        <v>0</v>
      </c>
      <c r="S26" s="6">
        <f>SUMIFS(美育素质!L:L,美育素质!B:B,B26,美育素质!D:D,"=校内外文化艺术竞赛")</f>
        <v>0</v>
      </c>
      <c r="T26" s="6">
        <f t="shared" si="4"/>
        <v>0</v>
      </c>
      <c r="U26" s="6">
        <f>MAX(1.21,SUMIFS(劳育素质!K:K,劳育素质!B:B,B26,劳育素质!D:D,"=劳动日常考核基础分")+SUMIFS(劳育素质!K:K,劳育素质!B:B,B26,劳育素质!D:D,"=活动与卫生加减分"))</f>
        <v>1.411733333333334</v>
      </c>
      <c r="V26" s="6">
        <f>SUMIFS(劳育素质!K:K,劳育素质!B:B,B26,劳育素质!D:D,"=志愿服务",劳育素质!F:F,"=A类+B类")</f>
        <v>0</v>
      </c>
      <c r="W26" s="6">
        <f>SUMIFS(劳育素质!K:K,劳育素质!B:B,B26,劳育素质!D:D,"=志愿服务",劳育素质!F:F,"=C类")</f>
        <v>0</v>
      </c>
      <c r="X26" s="6">
        <f t="shared" si="5"/>
        <v>0</v>
      </c>
      <c r="Y26" s="6">
        <f>SUMIFS(劳育素质!K:K,劳育素质!B:B,B26,劳育素质!D:D,"=实习实训")</f>
        <v>0</v>
      </c>
      <c r="Z26" s="6">
        <f t="shared" si="6"/>
        <v>1.411733333333334</v>
      </c>
      <c r="AA26" s="6">
        <f>SUMIFS(创新与实践素质!L:L,创新与实践素质!B:B,B26,创新与实践素质!D:D,"=创新创业素质")</f>
        <v>0</v>
      </c>
      <c r="AB26" s="6">
        <f>SUMIFS(创新与实践素质!L:L,创新与实践素质!B:B,B26,创新与实践素质!D:D,"=水平考试")</f>
        <v>0</v>
      </c>
      <c r="AC26" s="6">
        <f>SUMIFS(创新与实践素质!L:L,创新与实践素质!B:B,B26,创新与实践素质!D:D,"=社会实践")</f>
        <v>0</v>
      </c>
      <c r="AD26" s="6">
        <f>_xlfn.MAXIFS(创新与实践素质!L:L,创新与实践素质!B:B,B26,创新与实践素质!D:D,"=社会工作能力（工作表现）",创新与实践素质!G:G,"=上学期")+_xlfn.MAXIFS(创新与实践素质!L:L,创新与实践素质!B:B,B26,创新与实践素质!D:D,"=社会工作能力（工作表现）",创新与实践素质!G:G,"=下学期")</f>
        <v>0.5</v>
      </c>
      <c r="AE26" s="6">
        <f t="shared" si="7"/>
        <v>0.5</v>
      </c>
      <c r="AF26" s="6">
        <f t="shared" si="8"/>
        <v>61.293118749999998</v>
      </c>
    </row>
    <row r="27" spans="1:32" x14ac:dyDescent="0.3">
      <c r="A27" s="10" t="s">
        <v>59</v>
      </c>
      <c r="B27" s="10" t="s">
        <v>86</v>
      </c>
      <c r="C27" s="10"/>
      <c r="D27" s="6">
        <f>SUMIFS(德育素质!H:H,德育素质!B:B,B27,德育素质!D:D,"=基本评定分")</f>
        <v>6</v>
      </c>
      <c r="E27" s="6">
        <f>MIN(2,SUMIFS(德育素质!H:H,德育素质!A:A,A27,德育素质!D:D,"=集体评定等级分",德育素质!E:E,"=班级考评等级")+SUMIFS(德育素质!H:H,德育素质!B:B,B27,德育素质!D:D,"=集体评定等级分"))</f>
        <v>1</v>
      </c>
      <c r="F27" s="6">
        <f>MIN(2,SUMIFS(德育素质!H:H,德育素质!B:B,B27,德育素质!D:D,"=社会责任记实分"))</f>
        <v>0.1</v>
      </c>
      <c r="G27" s="6">
        <f>SUMIFS(德育素质!H:H,德育素质!B:B,B27,德育素质!D:D,"=违纪违规扣分")</f>
        <v>0</v>
      </c>
      <c r="H27" s="6">
        <f>SUMIFS(德育素质!H:H,德育素质!B:B,B27,德育素质!D:D,"=荣誉称号加分")</f>
        <v>0</v>
      </c>
      <c r="I27" s="6">
        <f t="shared" si="0"/>
        <v>1.1000000000000001</v>
      </c>
      <c r="J27" s="6">
        <f t="shared" si="1"/>
        <v>7.1</v>
      </c>
      <c r="K27" s="6">
        <f>(VLOOKUP(B27,智育素质!B:D,3,0)*10+50)*0.6</f>
        <v>47.645999999999994</v>
      </c>
      <c r="L27" s="6">
        <f>SUMIFS(体育素质!J:J,体育素质!B:B,B27,体育素质!D:D,"=体育课程成绩",体育素质!E:E,"=体育成绩")/40</f>
        <v>4.54</v>
      </c>
      <c r="M27" s="6">
        <f>SUMIFS(体育素质!L:L,体育素质!B:B,B27,体育素质!D:D,"=校内外体育竞赛")</f>
        <v>0</v>
      </c>
      <c r="N27" s="6">
        <f>SUMIFS(体育素质!L:L,体育素质!B:B,B27,体育素质!D:D,"=校内外体育活动",体育素质!E:E,"=早锻炼")</f>
        <v>0</v>
      </c>
      <c r="O27" s="6">
        <f>SUMIFS(体育素质!L:L,体育素质!B:B,B27,体育素质!D:D,"=校内外体育活动",体育素质!E:E,"=校园跑")</f>
        <v>0.75411458333333348</v>
      </c>
      <c r="P27" s="6">
        <f t="shared" si="2"/>
        <v>0.75411458333333348</v>
      </c>
      <c r="Q27" s="6">
        <f t="shared" si="3"/>
        <v>5.2941145833333332</v>
      </c>
      <c r="R27" s="6">
        <f>MIN(0.5,SUMIFS(美育素质!L:L,美育素质!B:B,B27,美育素质!D:D,"=文化艺术实践"))</f>
        <v>0</v>
      </c>
      <c r="S27" s="6">
        <f>SUMIFS(美育素质!L:L,美育素质!B:B,B27,美育素质!D:D,"=校内外文化艺术竞赛")</f>
        <v>0</v>
      </c>
      <c r="T27" s="6">
        <f t="shared" si="4"/>
        <v>0</v>
      </c>
      <c r="U27" s="6">
        <f>MAX(1.21,SUMIFS(劳育素质!K:K,劳育素质!B:B,B27,劳育素质!D:D,"=劳动日常考核基础分")+SUMIFS(劳育素质!K:K,劳育素质!B:B,B27,劳育素质!D:D,"=活动与卫生加减分"))</f>
        <v>1.4293333333333329</v>
      </c>
      <c r="V27" s="6">
        <f>SUMIFS(劳育素质!K:K,劳育素质!B:B,B27,劳育素质!D:D,"=志愿服务",劳育素质!F:F,"=A类+B类")</f>
        <v>0</v>
      </c>
      <c r="W27" s="6">
        <f>SUMIFS(劳育素质!K:K,劳育素质!B:B,B27,劳育素质!D:D,"=志愿服务",劳育素质!F:F,"=C类")</f>
        <v>0</v>
      </c>
      <c r="X27" s="6">
        <f t="shared" si="5"/>
        <v>0</v>
      </c>
      <c r="Y27" s="6">
        <f>SUMIFS(劳育素质!K:K,劳育素质!B:B,B27,劳育素质!D:D,"=实习实训")</f>
        <v>0</v>
      </c>
      <c r="Z27" s="6">
        <f t="shared" si="6"/>
        <v>1.4293333333333329</v>
      </c>
      <c r="AA27" s="6">
        <f>SUMIFS(创新与实践素质!L:L,创新与实践素质!B:B,B27,创新与实践素质!D:D,"=创新创业素质")</f>
        <v>0</v>
      </c>
      <c r="AB27" s="6">
        <f>SUMIFS(创新与实践素质!L:L,创新与实践素质!B:B,B27,创新与实践素质!D:D,"=水平考试")</f>
        <v>0</v>
      </c>
      <c r="AC27" s="6">
        <f>SUMIFS(创新与实践素质!L:L,创新与实践素质!B:B,B27,创新与实践素质!D:D,"=社会实践")</f>
        <v>0</v>
      </c>
      <c r="AD27" s="6">
        <f>_xlfn.MAXIFS(创新与实践素质!L:L,创新与实践素质!B:B,B27,创新与实践素质!D:D,"=社会工作能力（工作表现）",创新与实践素质!G:G,"=上学期")+_xlfn.MAXIFS(创新与实践素质!L:L,创新与实践素质!B:B,B27,创新与实践素质!D:D,"=社会工作能力（工作表现）",创新与实践素质!G:G,"=下学期")</f>
        <v>1</v>
      </c>
      <c r="AE27" s="6">
        <f t="shared" si="7"/>
        <v>1</v>
      </c>
      <c r="AF27" s="6">
        <f t="shared" si="8"/>
        <v>62.46944791666666</v>
      </c>
    </row>
    <row r="28" spans="1:32" x14ac:dyDescent="0.3">
      <c r="A28" s="10" t="s">
        <v>59</v>
      </c>
      <c r="B28" s="10" t="s">
        <v>87</v>
      </c>
      <c r="C28" s="10"/>
      <c r="D28" s="6">
        <f>SUMIFS(德育素质!H:H,德育素质!B:B,B28,德育素质!D:D,"=基本评定分")</f>
        <v>6</v>
      </c>
      <c r="E28" s="6">
        <f>MIN(2,SUMIFS(德育素质!H:H,德育素质!A:A,A28,德育素质!D:D,"=集体评定等级分",德育素质!E:E,"=班级考评等级")+SUMIFS(德育素质!H:H,德育素质!B:B,B28,德育素质!D:D,"=集体评定等级分"))</f>
        <v>1</v>
      </c>
      <c r="F28" s="6">
        <f>MIN(2,SUMIFS(德育素质!H:H,德育素质!B:B,B28,德育素质!D:D,"=社会责任记实分"))</f>
        <v>0</v>
      </c>
      <c r="G28" s="6">
        <f>SUMIFS(德育素质!H:H,德育素质!B:B,B28,德育素质!D:D,"=违纪违规扣分")</f>
        <v>0</v>
      </c>
      <c r="H28" s="6">
        <f>SUMIFS(德育素质!H:H,德育素质!B:B,B28,德育素质!D:D,"=荣誉称号加分")</f>
        <v>0</v>
      </c>
      <c r="I28" s="6">
        <f t="shared" si="0"/>
        <v>1</v>
      </c>
      <c r="J28" s="6">
        <f t="shared" si="1"/>
        <v>7</v>
      </c>
      <c r="K28" s="6">
        <f>(VLOOKUP(B28,智育素质!B:D,3,0)*10+50)*0.6</f>
        <v>47.286000000000001</v>
      </c>
      <c r="L28" s="6">
        <f>SUMIFS(体育素质!J:J,体育素质!B:B,B28,体育素质!D:D,"=体育课程成绩",体育素质!E:E,"=体育成绩")/40</f>
        <v>4.0149999999999997</v>
      </c>
      <c r="M28" s="6">
        <f>SUMIFS(体育素质!L:L,体育素质!B:B,B28,体育素质!D:D,"=校内外体育竞赛")</f>
        <v>0</v>
      </c>
      <c r="N28" s="6">
        <f>SUMIFS(体育素质!L:L,体育素质!B:B,B28,体育素质!D:D,"=校内外体育活动",体育素质!E:E,"=早锻炼")</f>
        <v>0</v>
      </c>
      <c r="O28" s="6">
        <f>SUMIFS(体育素质!L:L,体育素质!B:B,B28,体育素质!D:D,"=校内外体育活动",体育素质!E:E,"=校园跑")</f>
        <v>0.73203125000000002</v>
      </c>
      <c r="P28" s="6">
        <f t="shared" si="2"/>
        <v>0.73203125000000002</v>
      </c>
      <c r="Q28" s="6">
        <f t="shared" si="3"/>
        <v>4.74703125</v>
      </c>
      <c r="R28" s="6">
        <f>MIN(0.5,SUMIFS(美育素质!L:L,美育素质!B:B,B28,美育素质!D:D,"=文化艺术实践"))</f>
        <v>0</v>
      </c>
      <c r="S28" s="6">
        <f>SUMIFS(美育素质!L:L,美育素质!B:B,B28,美育素质!D:D,"=校内外文化艺术竞赛")</f>
        <v>0.125</v>
      </c>
      <c r="T28" s="6">
        <f t="shared" si="4"/>
        <v>0.125</v>
      </c>
      <c r="U28" s="6">
        <f>MAX(1.21,SUMIFS(劳育素质!K:K,劳育素质!B:B,B28,劳育素质!D:D,"=劳动日常考核基础分")+SUMIFS(劳育素质!K:K,劳育素质!B:B,B28,劳育素质!D:D,"=活动与卫生加减分"))</f>
        <v>1.385833333333333</v>
      </c>
      <c r="V28" s="6">
        <f>SUMIFS(劳育素质!K:K,劳育素质!B:B,B28,劳育素质!D:D,"=志愿服务",劳育素质!F:F,"=A类+B类")</f>
        <v>1.2250000000000001</v>
      </c>
      <c r="W28" s="6">
        <f>SUMIFS(劳育素质!K:K,劳育素质!B:B,B28,劳育素质!D:D,"=志愿服务",劳育素质!F:F,"=C类")</f>
        <v>0</v>
      </c>
      <c r="X28" s="6">
        <f t="shared" si="5"/>
        <v>1.2250000000000001</v>
      </c>
      <c r="Y28" s="6">
        <f>SUMIFS(劳育素质!K:K,劳育素质!B:B,B28,劳育素质!D:D,"=实习实训")</f>
        <v>0</v>
      </c>
      <c r="Z28" s="6">
        <f t="shared" si="6"/>
        <v>2.6108333333333329</v>
      </c>
      <c r="AA28" s="6">
        <f>SUMIFS(创新与实践素质!L:L,创新与实践素质!B:B,B28,创新与实践素质!D:D,"=创新创业素质")</f>
        <v>0</v>
      </c>
      <c r="AB28" s="6">
        <f>SUMIFS(创新与实践素质!L:L,创新与实践素质!B:B,B28,创新与实践素质!D:D,"=水平考试")</f>
        <v>0</v>
      </c>
      <c r="AC28" s="6">
        <f>SUMIFS(创新与实践素质!L:L,创新与实践素质!B:B,B28,创新与实践素质!D:D,"=社会实践")</f>
        <v>0</v>
      </c>
      <c r="AD28" s="6">
        <f>_xlfn.MAXIFS(创新与实践素质!L:L,创新与实践素质!B:B,B28,创新与实践素质!D:D,"=社会工作能力（工作表现）",创新与实践素质!G:G,"=上学期")+_xlfn.MAXIFS(创新与实践素质!L:L,创新与实践素质!B:B,B28,创新与实践素质!D:D,"=社会工作能力（工作表现）",创新与实践素质!G:G,"=下学期")</f>
        <v>0</v>
      </c>
      <c r="AE28" s="6">
        <f t="shared" si="7"/>
        <v>0</v>
      </c>
      <c r="AF28" s="6">
        <f t="shared" si="8"/>
        <v>61.768864583333333</v>
      </c>
    </row>
    <row r="29" spans="1:32" x14ac:dyDescent="0.3">
      <c r="A29" s="10" t="s">
        <v>59</v>
      </c>
      <c r="B29" s="10" t="s">
        <v>88</v>
      </c>
      <c r="C29" s="10"/>
      <c r="D29" s="6">
        <f>SUMIFS(德育素质!H:H,德育素质!B:B,B29,德育素质!D:D,"=基本评定分")</f>
        <v>5.28</v>
      </c>
      <c r="E29" s="6">
        <f>MIN(2,SUMIFS(德育素质!H:H,德育素质!A:A,A29,德育素质!D:D,"=集体评定等级分",德育素质!E:E,"=班级考评等级")+SUMIFS(德育素质!H:H,德育素质!B:B,B29,德育素质!D:D,"=集体评定等级分"))</f>
        <v>1</v>
      </c>
      <c r="F29" s="6">
        <f>MIN(2,SUMIFS(德育素质!H:H,德育素质!B:B,B29,德育素质!D:D,"=社会责任记实分"))</f>
        <v>0</v>
      </c>
      <c r="G29" s="6">
        <f>SUMIFS(德育素质!H:H,德育素质!B:B,B29,德育素质!D:D,"=违纪违规扣分")</f>
        <v>0</v>
      </c>
      <c r="H29" s="6">
        <f>SUMIFS(德育素质!H:H,德育素质!B:B,B29,德育素质!D:D,"=荣誉称号加分")</f>
        <v>0</v>
      </c>
      <c r="I29" s="6">
        <f t="shared" si="0"/>
        <v>1</v>
      </c>
      <c r="J29" s="6">
        <f t="shared" si="1"/>
        <v>6.28</v>
      </c>
      <c r="K29" s="6">
        <f>(VLOOKUP(B29,智育素质!B:D,3,0)*10+50)*0.6</f>
        <v>45.665999999999997</v>
      </c>
      <c r="L29" s="6">
        <f>SUMIFS(体育素质!J:J,体育素质!B:B,B29,体育素质!D:D,"=体育课程成绩",体育素质!E:E,"=体育成绩")/40</f>
        <v>3.2</v>
      </c>
      <c r="M29" s="6">
        <f>SUMIFS(体育素质!L:L,体育素质!B:B,B29,体育素质!D:D,"=校内外体育竞赛")</f>
        <v>0</v>
      </c>
      <c r="N29" s="6">
        <f>SUMIFS(体育素质!L:L,体育素质!B:B,B29,体育素质!D:D,"=校内外体育活动",体育素质!E:E,"=早锻炼")</f>
        <v>0</v>
      </c>
      <c r="O29" s="6">
        <f>SUMIFS(体育素质!L:L,体育素质!B:B,B29,体育素质!D:D,"=校内外体育活动",体育素质!E:E,"=校园跑")</f>
        <v>0</v>
      </c>
      <c r="P29" s="6">
        <f t="shared" si="2"/>
        <v>0</v>
      </c>
      <c r="Q29" s="6">
        <f t="shared" si="3"/>
        <v>3.2</v>
      </c>
      <c r="R29" s="6">
        <f>MIN(0.5,SUMIFS(美育素质!L:L,美育素质!B:B,B29,美育素质!D:D,"=文化艺术实践"))</f>
        <v>0</v>
      </c>
      <c r="S29" s="6">
        <f>SUMIFS(美育素质!L:L,美育素质!B:B,B29,美育素质!D:D,"=校内外文化艺术竞赛")</f>
        <v>0</v>
      </c>
      <c r="T29" s="6">
        <f t="shared" si="4"/>
        <v>0</v>
      </c>
      <c r="U29" s="6">
        <f>MAX(1.21,SUMIFS(劳育素质!K:K,劳育素质!B:B,B29,劳育素质!D:D,"=劳动日常考核基础分")+SUMIFS(劳育素质!K:K,劳育素质!B:B,B29,劳育素质!D:D,"=活动与卫生加减分"))</f>
        <v>1.5276000000000001</v>
      </c>
      <c r="V29" s="6">
        <f>SUMIFS(劳育素质!K:K,劳育素质!B:B,B29,劳育素质!D:D,"=志愿服务",劳育素质!F:F,"=A类+B类")</f>
        <v>0</v>
      </c>
      <c r="W29" s="6">
        <f>SUMIFS(劳育素质!K:K,劳育素质!B:B,B29,劳育素质!D:D,"=志愿服务",劳育素质!F:F,"=C类")</f>
        <v>0</v>
      </c>
      <c r="X29" s="6">
        <f t="shared" si="5"/>
        <v>0</v>
      </c>
      <c r="Y29" s="6">
        <f>SUMIFS(劳育素质!K:K,劳育素质!B:B,B29,劳育素质!D:D,"=实习实训")</f>
        <v>0</v>
      </c>
      <c r="Z29" s="6">
        <f t="shared" si="6"/>
        <v>1.5276000000000001</v>
      </c>
      <c r="AA29" s="6">
        <f>SUMIFS(创新与实践素质!L:L,创新与实践素质!B:B,B29,创新与实践素质!D:D,"=创新创业素质")</f>
        <v>0</v>
      </c>
      <c r="AB29" s="6">
        <f>SUMIFS(创新与实践素质!L:L,创新与实践素质!B:B,B29,创新与实践素质!D:D,"=水平考试")</f>
        <v>0</v>
      </c>
      <c r="AC29" s="6">
        <f>SUMIFS(创新与实践素质!L:L,创新与实践素质!B:B,B29,创新与实践素质!D:D,"=社会实践")</f>
        <v>0</v>
      </c>
      <c r="AD29" s="6">
        <f>_xlfn.MAXIFS(创新与实践素质!L:L,创新与实践素质!B:B,B29,创新与实践素质!D:D,"=社会工作能力（工作表现）",创新与实践素质!G:G,"=上学期")+_xlfn.MAXIFS(创新与实践素质!L:L,创新与实践素质!B:B,B29,创新与实践素质!D:D,"=社会工作能力（工作表现）",创新与实践素质!G:G,"=下学期")</f>
        <v>0</v>
      </c>
      <c r="AE29" s="6">
        <f t="shared" si="7"/>
        <v>0</v>
      </c>
      <c r="AF29" s="6">
        <f t="shared" si="8"/>
        <v>56.6736</v>
      </c>
    </row>
    <row r="30" spans="1:32" x14ac:dyDescent="0.3">
      <c r="A30" s="10" t="s">
        <v>59</v>
      </c>
      <c r="B30" s="10" t="s">
        <v>89</v>
      </c>
      <c r="C30" s="10"/>
      <c r="D30" s="6">
        <f>SUMIFS(德育素质!H:H,德育素质!B:B,B30,德育素质!D:D,"=基本评定分")</f>
        <v>5.28</v>
      </c>
      <c r="E30" s="6">
        <f>MIN(2,SUMIFS(德育素质!H:H,德育素质!A:A,A30,德育素质!D:D,"=集体评定等级分",德育素质!E:E,"=班级考评等级")+SUMIFS(德育素质!H:H,德育素质!B:B,B30,德育素质!D:D,"=集体评定等级分"))</f>
        <v>1</v>
      </c>
      <c r="F30" s="6">
        <f>MIN(2,SUMIFS(德育素质!H:H,德育素质!B:B,B30,德育素质!D:D,"=社会责任记实分"))</f>
        <v>0</v>
      </c>
      <c r="G30" s="6">
        <f>SUMIFS(德育素质!H:H,德育素质!B:B,B30,德育素质!D:D,"=违纪违规扣分")</f>
        <v>0</v>
      </c>
      <c r="H30" s="6">
        <f>SUMIFS(德育素质!H:H,德育素质!B:B,B30,德育素质!D:D,"=荣誉称号加分")</f>
        <v>0</v>
      </c>
      <c r="I30" s="6">
        <f t="shared" si="0"/>
        <v>1</v>
      </c>
      <c r="J30" s="6">
        <f t="shared" si="1"/>
        <v>6.28</v>
      </c>
      <c r="K30" s="6">
        <f>(VLOOKUP(B30,智育素质!B:D,3,0)*10+50)*0.6</f>
        <v>48.605999999999995</v>
      </c>
      <c r="L30" s="6">
        <f>SUMIFS(体育素质!J:J,体育素质!B:B,B30,体育素质!D:D,"=体育课程成绩",体育素质!E:E,"=体育成绩")/40</f>
        <v>3.7549999999999999</v>
      </c>
      <c r="M30" s="6">
        <f>SUMIFS(体育素质!L:L,体育素质!B:B,B30,体育素质!D:D,"=校内外体育竞赛")</f>
        <v>1</v>
      </c>
      <c r="N30" s="6">
        <f>SUMIFS(体育素质!L:L,体育素质!B:B,B30,体育素质!D:D,"=校内外体育活动",体育素质!E:E,"=早锻炼")</f>
        <v>0</v>
      </c>
      <c r="O30" s="6">
        <f>SUMIFS(体育素质!L:L,体育素质!B:B,B30,体育素质!D:D,"=校内外体育活动",体育素质!E:E,"=校园跑")</f>
        <v>0.69124999999999992</v>
      </c>
      <c r="P30" s="6">
        <f t="shared" si="2"/>
        <v>1.6912499999999999</v>
      </c>
      <c r="Q30" s="6">
        <f t="shared" si="3"/>
        <v>5.44625</v>
      </c>
      <c r="R30" s="6">
        <f>MIN(0.5,SUMIFS(美育素质!L:L,美育素质!B:B,B30,美育素质!D:D,"=文化艺术实践"))</f>
        <v>0</v>
      </c>
      <c r="S30" s="6">
        <f>SUMIFS(美育素质!L:L,美育素质!B:B,B30,美育素质!D:D,"=校内外文化艺术竞赛")</f>
        <v>0</v>
      </c>
      <c r="T30" s="6">
        <f t="shared" si="4"/>
        <v>0</v>
      </c>
      <c r="U30" s="6">
        <f>MAX(1.21,SUMIFS(劳育素质!K:K,劳育素质!B:B,B30,劳育素质!D:D,"=劳动日常考核基础分")+SUMIFS(劳育素质!K:K,劳育素质!B:B,B30,劳育素质!D:D,"=活动与卫生加减分"))</f>
        <v>1.4293333333333329</v>
      </c>
      <c r="V30" s="6">
        <f>SUMIFS(劳育素质!K:K,劳育素质!B:B,B30,劳育素质!D:D,"=志愿服务",劳育素质!F:F,"=A类+B类")</f>
        <v>0</v>
      </c>
      <c r="W30" s="6">
        <f>SUMIFS(劳育素质!K:K,劳育素质!B:B,B30,劳育素质!D:D,"=志愿服务",劳育素质!F:F,"=C类")</f>
        <v>0</v>
      </c>
      <c r="X30" s="6">
        <f t="shared" si="5"/>
        <v>0</v>
      </c>
      <c r="Y30" s="6">
        <f>SUMIFS(劳育素质!K:K,劳育素质!B:B,B30,劳育素质!D:D,"=实习实训")</f>
        <v>0</v>
      </c>
      <c r="Z30" s="6">
        <f t="shared" si="6"/>
        <v>1.4293333333333329</v>
      </c>
      <c r="AA30" s="6">
        <f>SUMIFS(创新与实践素质!L:L,创新与实践素质!B:B,B30,创新与实践素质!D:D,"=创新创业素质")</f>
        <v>0</v>
      </c>
      <c r="AB30" s="6">
        <f>SUMIFS(创新与实践素质!L:L,创新与实践素质!B:B,B30,创新与实践素质!D:D,"=水平考试")</f>
        <v>0</v>
      </c>
      <c r="AC30" s="6">
        <f>SUMIFS(创新与实践素质!L:L,创新与实践素质!B:B,B30,创新与实践素质!D:D,"=社会实践")</f>
        <v>0</v>
      </c>
      <c r="AD30" s="6">
        <f>_xlfn.MAXIFS(创新与实践素质!L:L,创新与实践素质!B:B,B30,创新与实践素质!D:D,"=社会工作能力（工作表现）",创新与实践素质!G:G,"=上学期")+_xlfn.MAXIFS(创新与实践素质!L:L,创新与实践素质!B:B,B30,创新与实践素质!D:D,"=社会工作能力（工作表现）",创新与实践素质!G:G,"=下学期")</f>
        <v>0</v>
      </c>
      <c r="AE30" s="6">
        <f t="shared" si="7"/>
        <v>0</v>
      </c>
      <c r="AF30" s="6">
        <f t="shared" si="8"/>
        <v>61.761583333333327</v>
      </c>
    </row>
    <row r="31" spans="1:32" x14ac:dyDescent="0.3">
      <c r="A31" s="10" t="s">
        <v>59</v>
      </c>
      <c r="B31" s="10" t="s">
        <v>90</v>
      </c>
      <c r="C31" s="10"/>
      <c r="D31" s="6">
        <f>SUMIFS(德育素质!H:H,德育素质!B:B,B31,德育素质!D:D,"=基本评定分")</f>
        <v>5.28</v>
      </c>
      <c r="E31" s="6">
        <f>MIN(2,SUMIFS(德育素质!H:H,德育素质!A:A,A31,德育素质!D:D,"=集体评定等级分",德育素质!E:E,"=班级考评等级")+SUMIFS(德育素质!H:H,德育素质!B:B,B31,德育素质!D:D,"=集体评定等级分"))</f>
        <v>1</v>
      </c>
      <c r="F31" s="6">
        <f>MIN(2,SUMIFS(德育素质!H:H,德育素质!B:B,B31,德育素质!D:D,"=社会责任记实分"))</f>
        <v>0</v>
      </c>
      <c r="G31" s="6">
        <f>SUMIFS(德育素质!H:H,德育素质!B:B,B31,德育素质!D:D,"=违纪违规扣分")</f>
        <v>0</v>
      </c>
      <c r="H31" s="6">
        <f>SUMIFS(德育素质!H:H,德育素质!B:B,B31,德育素质!D:D,"=荣誉称号加分")</f>
        <v>0</v>
      </c>
      <c r="I31" s="6">
        <f t="shared" si="0"/>
        <v>1</v>
      </c>
      <c r="J31" s="6">
        <f t="shared" si="1"/>
        <v>6.28</v>
      </c>
      <c r="K31" s="6">
        <f>(VLOOKUP(B31,智育素质!B:D,3,0)*10+50)*0.6</f>
        <v>44.291999999999994</v>
      </c>
      <c r="L31" s="6">
        <f>SUMIFS(体育素质!J:J,体育素质!B:B,B31,体育素质!D:D,"=体育课程成绩",体育素质!E:E,"=体育成绩")/40</f>
        <v>3.2749999999999999</v>
      </c>
      <c r="M31" s="6">
        <f>SUMIFS(体育素质!L:L,体育素质!B:B,B31,体育素质!D:D,"=校内外体育竞赛")</f>
        <v>0</v>
      </c>
      <c r="N31" s="6">
        <f>SUMIFS(体育素质!L:L,体育素质!B:B,B31,体育素质!D:D,"=校内外体育活动",体育素质!E:E,"=早锻炼")</f>
        <v>0</v>
      </c>
      <c r="O31" s="6">
        <f>SUMIFS(体育素质!L:L,体育素质!B:B,B31,体育素质!D:D,"=校内外体育活动",体育素质!E:E,"=校园跑")</f>
        <v>0.62868750000000007</v>
      </c>
      <c r="P31" s="6">
        <f t="shared" si="2"/>
        <v>0.62868750000000007</v>
      </c>
      <c r="Q31" s="6">
        <f t="shared" si="3"/>
        <v>3.9036875000000002</v>
      </c>
      <c r="R31" s="6">
        <f>MIN(0.5,SUMIFS(美育素质!L:L,美育素质!B:B,B31,美育素质!D:D,"=文化艺术实践"))</f>
        <v>0</v>
      </c>
      <c r="S31" s="6">
        <f>SUMIFS(美育素质!L:L,美育素质!B:B,B31,美育素质!D:D,"=校内外文化艺术竞赛")</f>
        <v>0</v>
      </c>
      <c r="T31" s="6">
        <f t="shared" si="4"/>
        <v>0</v>
      </c>
      <c r="U31" s="6">
        <f>MAX(1.21,SUMIFS(劳育素质!K:K,劳育素质!B:B,B31,劳育素质!D:D,"=劳动日常考核基础分")+SUMIFS(劳育素质!K:K,劳育素质!B:B,B31,劳育素质!D:D,"=活动与卫生加减分"))</f>
        <v>1.5276000000000001</v>
      </c>
      <c r="V31" s="6">
        <f>SUMIFS(劳育素质!K:K,劳育素质!B:B,B31,劳育素质!D:D,"=志愿服务",劳育素质!F:F,"=A类+B类")</f>
        <v>0</v>
      </c>
      <c r="W31" s="6">
        <f>SUMIFS(劳育素质!K:K,劳育素质!B:B,B31,劳育素质!D:D,"=志愿服务",劳育素质!F:F,"=C类")</f>
        <v>0</v>
      </c>
      <c r="X31" s="6">
        <f t="shared" si="5"/>
        <v>0</v>
      </c>
      <c r="Y31" s="6">
        <f>SUMIFS(劳育素质!K:K,劳育素质!B:B,B31,劳育素质!D:D,"=实习实训")</f>
        <v>0</v>
      </c>
      <c r="Z31" s="6">
        <f t="shared" si="6"/>
        <v>1.5276000000000001</v>
      </c>
      <c r="AA31" s="6">
        <f>SUMIFS(创新与实践素质!L:L,创新与实践素质!B:B,B31,创新与实践素质!D:D,"=创新创业素质")</f>
        <v>0</v>
      </c>
      <c r="AB31" s="6">
        <f>SUMIFS(创新与实践素质!L:L,创新与实践素质!B:B,B31,创新与实践素质!D:D,"=水平考试")</f>
        <v>0</v>
      </c>
      <c r="AC31" s="6">
        <f>SUMIFS(创新与实践素质!L:L,创新与实践素质!B:B,B31,创新与实践素质!D:D,"=社会实践")</f>
        <v>0</v>
      </c>
      <c r="AD31" s="6">
        <f>_xlfn.MAXIFS(创新与实践素质!L:L,创新与实践素质!B:B,B31,创新与实践素质!D:D,"=社会工作能力（工作表现）",创新与实践素质!G:G,"=上学期")+_xlfn.MAXIFS(创新与实践素质!L:L,创新与实践素质!B:B,B31,创新与实践素质!D:D,"=社会工作能力（工作表现）",创新与实践素质!G:G,"=下学期")</f>
        <v>0</v>
      </c>
      <c r="AE31" s="6">
        <f t="shared" si="7"/>
        <v>0</v>
      </c>
      <c r="AF31" s="6">
        <f t="shared" si="8"/>
        <v>56.003287499999999</v>
      </c>
    </row>
    <row r="32" spans="1:32" x14ac:dyDescent="0.3">
      <c r="A32" s="10" t="s">
        <v>59</v>
      </c>
      <c r="B32" s="10" t="s">
        <v>91</v>
      </c>
      <c r="C32" s="10"/>
      <c r="D32" s="6">
        <f>SUMIFS(德育素质!H:H,德育素质!B:B,B32,德育素质!D:D,"=基本评定分")</f>
        <v>5.28</v>
      </c>
      <c r="E32" s="6">
        <f>MIN(2,SUMIFS(德育素质!H:H,德育素质!A:A,A32,德育素质!D:D,"=集体评定等级分",德育素质!E:E,"=班级考评等级")+SUMIFS(德育素质!H:H,德育素质!B:B,B32,德育素质!D:D,"=集体评定等级分"))</f>
        <v>1</v>
      </c>
      <c r="F32" s="6">
        <f>MIN(2,SUMIFS(德育素质!H:H,德育素质!B:B,B32,德育素质!D:D,"=社会责任记实分"))</f>
        <v>0</v>
      </c>
      <c r="G32" s="6">
        <f>SUMIFS(德育素质!H:H,德育素质!B:B,B32,德育素质!D:D,"=违纪违规扣分")</f>
        <v>0</v>
      </c>
      <c r="H32" s="6">
        <f>SUMIFS(德育素质!H:H,德育素质!B:B,B32,德育素质!D:D,"=荣誉称号加分")</f>
        <v>0</v>
      </c>
      <c r="I32" s="6">
        <f t="shared" si="0"/>
        <v>1</v>
      </c>
      <c r="J32" s="6">
        <f t="shared" si="1"/>
        <v>6.28</v>
      </c>
      <c r="K32" s="6">
        <f>(VLOOKUP(B32,智育素质!B:D,3,0)*10+50)*0.6</f>
        <v>43.943999999999996</v>
      </c>
      <c r="L32" s="6">
        <f>SUMIFS(体育素质!J:J,体育素质!B:B,B32,体育素质!D:D,"=体育课程成绩",体育素质!E:E,"=体育成绩")/40</f>
        <v>2.3725000000000001</v>
      </c>
      <c r="M32" s="6">
        <f>SUMIFS(体育素质!L:L,体育素质!B:B,B32,体育素质!D:D,"=校内外体育竞赛")</f>
        <v>0</v>
      </c>
      <c r="N32" s="6">
        <f>SUMIFS(体育素质!L:L,体育素质!B:B,B32,体育素质!D:D,"=校内外体育活动",体育素质!E:E,"=早锻炼")</f>
        <v>0</v>
      </c>
      <c r="O32" s="6">
        <f>SUMIFS(体育素质!L:L,体育素质!B:B,B32,体育素质!D:D,"=校内外体育活动",体育素质!E:E,"=校园跑")</f>
        <v>0.62546875000000002</v>
      </c>
      <c r="P32" s="6">
        <f t="shared" si="2"/>
        <v>0.62546875000000002</v>
      </c>
      <c r="Q32" s="6">
        <f t="shared" si="3"/>
        <v>2.9979687500000001</v>
      </c>
      <c r="R32" s="6">
        <f>MIN(0.5,SUMIFS(美育素质!L:L,美育素质!B:B,B32,美育素质!D:D,"=文化艺术实践"))</f>
        <v>0</v>
      </c>
      <c r="S32" s="6">
        <f>SUMIFS(美育素质!L:L,美育素质!B:B,B32,美育素质!D:D,"=校内外文化艺术竞赛")</f>
        <v>0</v>
      </c>
      <c r="T32" s="6">
        <f t="shared" si="4"/>
        <v>0</v>
      </c>
      <c r="U32" s="6">
        <f>MAX(1.21,SUMIFS(劳育素质!K:K,劳育素质!B:B,B32,劳育素质!D:D,"=劳动日常考核基础分")+SUMIFS(劳育素质!K:K,劳育素质!B:B,B32,劳育素质!D:D,"=活动与卫生加减分"))</f>
        <v>1.6260317460317459</v>
      </c>
      <c r="V32" s="6">
        <f>SUMIFS(劳育素质!K:K,劳育素质!B:B,B32,劳育素质!D:D,"=志愿服务",劳育素质!F:F,"=A类+B类")</f>
        <v>0</v>
      </c>
      <c r="W32" s="6">
        <f>SUMIFS(劳育素质!K:K,劳育素质!B:B,B32,劳育素质!D:D,"=志愿服务",劳育素质!F:F,"=C类")</f>
        <v>0</v>
      </c>
      <c r="X32" s="6">
        <f t="shared" si="5"/>
        <v>0</v>
      </c>
      <c r="Y32" s="6">
        <f>SUMIFS(劳育素质!K:K,劳育素质!B:B,B32,劳育素质!D:D,"=实习实训")</f>
        <v>0</v>
      </c>
      <c r="Z32" s="6">
        <f t="shared" si="6"/>
        <v>1.6260317460317459</v>
      </c>
      <c r="AA32" s="6">
        <f>SUMIFS(创新与实践素质!L:L,创新与实践素质!B:B,B32,创新与实践素质!D:D,"=创新创业素质")</f>
        <v>0</v>
      </c>
      <c r="AB32" s="6">
        <f>SUMIFS(创新与实践素质!L:L,创新与实践素质!B:B,B32,创新与实践素质!D:D,"=水平考试")</f>
        <v>0</v>
      </c>
      <c r="AC32" s="6">
        <f>SUMIFS(创新与实践素质!L:L,创新与实践素质!B:B,B32,创新与实践素质!D:D,"=社会实践")</f>
        <v>0</v>
      </c>
      <c r="AD32" s="6">
        <f>_xlfn.MAXIFS(创新与实践素质!L:L,创新与实践素质!B:B,B32,创新与实践素质!D:D,"=社会工作能力（工作表现）",创新与实践素质!G:G,"=上学期")+_xlfn.MAXIFS(创新与实践素质!L:L,创新与实践素质!B:B,B32,创新与实践素质!D:D,"=社会工作能力（工作表现）",创新与实践素质!G:G,"=下学期")</f>
        <v>0</v>
      </c>
      <c r="AE32" s="6">
        <f t="shared" si="7"/>
        <v>0</v>
      </c>
      <c r="AF32" s="6">
        <f t="shared" si="8"/>
        <v>54.848000496031744</v>
      </c>
    </row>
    <row r="33" spans="1:32" x14ac:dyDescent="0.3">
      <c r="A33" s="10" t="s">
        <v>59</v>
      </c>
      <c r="B33" s="10" t="s">
        <v>92</v>
      </c>
      <c r="C33" s="10"/>
      <c r="D33" s="6">
        <f>SUMIFS(德育素质!H:H,德育素质!B:B,B33,德育素质!D:D,"=基本评定分")</f>
        <v>5.28</v>
      </c>
      <c r="E33" s="6">
        <f>MIN(2,SUMIFS(德育素质!H:H,德育素质!A:A,A33,德育素质!D:D,"=集体评定等级分",德育素质!E:E,"=班级考评等级")+SUMIFS(德育素质!H:H,德育素质!B:B,B33,德育素质!D:D,"=集体评定等级分"))</f>
        <v>1</v>
      </c>
      <c r="F33" s="6">
        <f>MIN(2,SUMIFS(德育素质!H:H,德育素质!B:B,B33,德育素质!D:D,"=社会责任记实分"))</f>
        <v>0</v>
      </c>
      <c r="G33" s="6">
        <f>SUMIFS(德育素质!H:H,德育素质!B:B,B33,德育素质!D:D,"=违纪违规扣分")</f>
        <v>0</v>
      </c>
      <c r="H33" s="6">
        <f>SUMIFS(德育素质!H:H,德育素质!B:B,B33,德育素质!D:D,"=荣誉称号加分")</f>
        <v>0</v>
      </c>
      <c r="I33" s="6">
        <f t="shared" si="0"/>
        <v>1</v>
      </c>
      <c r="J33" s="6">
        <f t="shared" si="1"/>
        <v>6.28</v>
      </c>
      <c r="K33" s="6">
        <f>(VLOOKUP(B33,智育素质!B:D,3,0)*10+50)*0.6</f>
        <v>43.235999999999997</v>
      </c>
      <c r="L33" s="6">
        <f>SUMIFS(体育素质!J:J,体育素质!B:B,B33,体育素质!D:D,"=体育课程成绩",体育素质!E:E,"=体育成绩")/40</f>
        <v>3.5450000000000004</v>
      </c>
      <c r="M33" s="6">
        <f>SUMIFS(体育素质!L:L,体育素质!B:B,B33,体育素质!D:D,"=校内外体育竞赛")</f>
        <v>0</v>
      </c>
      <c r="N33" s="6">
        <f>SUMIFS(体育素质!L:L,体育素质!B:B,B33,体育素质!D:D,"=校内外体育活动",体育素质!E:E,"=早锻炼")</f>
        <v>0</v>
      </c>
      <c r="O33" s="6">
        <f>SUMIFS(体育素质!L:L,体育素质!B:B,B33,体育素质!D:D,"=校内外体育活动",体育素质!E:E,"=校园跑")</f>
        <v>0.62668750000000006</v>
      </c>
      <c r="P33" s="6">
        <f t="shared" si="2"/>
        <v>0.62668750000000006</v>
      </c>
      <c r="Q33" s="6">
        <f t="shared" si="3"/>
        <v>4.1716875000000009</v>
      </c>
      <c r="R33" s="6">
        <f>MIN(0.5,SUMIFS(美育素质!L:L,美育素质!B:B,B33,美育素质!D:D,"=文化艺术实践"))</f>
        <v>0</v>
      </c>
      <c r="S33" s="6">
        <f>SUMIFS(美育素质!L:L,美育素质!B:B,B33,美育素质!D:D,"=校内外文化艺术竞赛")</f>
        <v>0</v>
      </c>
      <c r="T33" s="6">
        <f t="shared" si="4"/>
        <v>0</v>
      </c>
      <c r="U33" s="6">
        <f>MAX(1.21,SUMIFS(劳育素质!K:K,劳育素质!B:B,B33,劳育素质!D:D,"=劳动日常考核基础分")+SUMIFS(劳育素质!K:K,劳育素质!B:B,B33,劳育素质!D:D,"=活动与卫生加减分"))</f>
        <v>1.5368333333333331</v>
      </c>
      <c r="V33" s="6">
        <f>SUMIFS(劳育素质!K:K,劳育素质!B:B,B33,劳育素质!D:D,"=志愿服务",劳育素质!F:F,"=A类+B类")</f>
        <v>0</v>
      </c>
      <c r="W33" s="6">
        <f>SUMIFS(劳育素质!K:K,劳育素质!B:B,B33,劳育素质!D:D,"=志愿服务",劳育素质!F:F,"=C类")</f>
        <v>0</v>
      </c>
      <c r="X33" s="6">
        <f t="shared" si="5"/>
        <v>0</v>
      </c>
      <c r="Y33" s="6">
        <f>SUMIFS(劳育素质!K:K,劳育素质!B:B,B33,劳育素质!D:D,"=实习实训")</f>
        <v>0</v>
      </c>
      <c r="Z33" s="6">
        <f t="shared" si="6"/>
        <v>1.5368333333333331</v>
      </c>
      <c r="AA33" s="6">
        <f>SUMIFS(创新与实践素质!L:L,创新与实践素质!B:B,B33,创新与实践素质!D:D,"=创新创业素质")</f>
        <v>0</v>
      </c>
      <c r="AB33" s="6">
        <f>SUMIFS(创新与实践素质!L:L,创新与实践素质!B:B,B33,创新与实践素质!D:D,"=水平考试")</f>
        <v>0</v>
      </c>
      <c r="AC33" s="6">
        <f>SUMIFS(创新与实践素质!L:L,创新与实践素质!B:B,B33,创新与实践素质!D:D,"=社会实践")</f>
        <v>0</v>
      </c>
      <c r="AD33" s="6">
        <f>_xlfn.MAXIFS(创新与实践素质!L:L,创新与实践素质!B:B,B33,创新与实践素质!D:D,"=社会工作能力（工作表现）",创新与实践素质!G:G,"=上学期")+_xlfn.MAXIFS(创新与实践素质!L:L,创新与实践素质!B:B,B33,创新与实践素质!D:D,"=社会工作能力（工作表现）",创新与实践素质!G:G,"=下学期")</f>
        <v>0</v>
      </c>
      <c r="AE33" s="6">
        <f t="shared" si="7"/>
        <v>0</v>
      </c>
      <c r="AF33" s="6">
        <f t="shared" si="8"/>
        <v>55.22452083333333</v>
      </c>
    </row>
    <row r="34" spans="1:32" x14ac:dyDescent="0.3">
      <c r="A34" s="10" t="s">
        <v>59</v>
      </c>
      <c r="B34" s="10" t="s">
        <v>93</v>
      </c>
      <c r="C34" s="10"/>
      <c r="D34" s="6">
        <f>SUMIFS(德育素质!H:H,德育素质!B:B,B34,德育素质!D:D,"=基本评定分")</f>
        <v>5.28</v>
      </c>
      <c r="E34" s="6">
        <f>MIN(2,SUMIFS(德育素质!H:H,德育素质!A:A,A34,德育素质!D:D,"=集体评定等级分",德育素质!E:E,"=班级考评等级")+SUMIFS(德育素质!H:H,德育素质!B:B,B34,德育素质!D:D,"=集体评定等级分"))</f>
        <v>1</v>
      </c>
      <c r="F34" s="6">
        <f>MIN(2,SUMIFS(德育素质!H:H,德育素质!B:B,B34,德育素质!D:D,"=社会责任记实分"))</f>
        <v>0</v>
      </c>
      <c r="G34" s="6">
        <f>SUMIFS(德育素质!H:H,德育素质!B:B,B34,德育素质!D:D,"=违纪违规扣分")</f>
        <v>0</v>
      </c>
      <c r="H34" s="6">
        <f>SUMIFS(德育素质!H:H,德育素质!B:B,B34,德育素质!D:D,"=荣誉称号加分")</f>
        <v>0</v>
      </c>
      <c r="I34" s="6">
        <f t="shared" si="0"/>
        <v>1</v>
      </c>
      <c r="J34" s="6">
        <f t="shared" si="1"/>
        <v>6.28</v>
      </c>
      <c r="K34" s="6">
        <f>(VLOOKUP(B34,智育素质!B:D,3,0)*10+50)*0.6</f>
        <v>45.137999999999998</v>
      </c>
      <c r="L34" s="6">
        <f>SUMIFS(体育素质!J:J,体育素质!B:B,B34,体育素质!D:D,"=体育课程成绩",体育素质!E:E,"=体育成绩")/40</f>
        <v>3.5149999999999997</v>
      </c>
      <c r="M34" s="6">
        <f>SUMIFS(体育素质!L:L,体育素质!B:B,B34,体育素质!D:D,"=校内外体育竞赛")</f>
        <v>0</v>
      </c>
      <c r="N34" s="6">
        <f>SUMIFS(体育素质!L:L,体育素质!B:B,B34,体育素质!D:D,"=校内外体育活动",体育素质!E:E,"=早锻炼")</f>
        <v>0</v>
      </c>
      <c r="O34" s="6">
        <f>SUMIFS(体育素质!L:L,体育素质!B:B,B34,体育素质!D:D,"=校内外体育活动",体育素质!E:E,"=校园跑")</f>
        <v>0.62973958333333324</v>
      </c>
      <c r="P34" s="6">
        <f t="shared" si="2"/>
        <v>0.62973958333333324</v>
      </c>
      <c r="Q34" s="6">
        <f t="shared" si="3"/>
        <v>4.1447395833333331</v>
      </c>
      <c r="R34" s="6">
        <f>MIN(0.5,SUMIFS(美育素质!L:L,美育素质!B:B,B34,美育素质!D:D,"=文化艺术实践"))</f>
        <v>0</v>
      </c>
      <c r="S34" s="6">
        <f>SUMIFS(美育素质!L:L,美育素质!B:B,B34,美育素质!D:D,"=校内外文化艺术竞赛")</f>
        <v>0</v>
      </c>
      <c r="T34" s="6">
        <f t="shared" si="4"/>
        <v>0</v>
      </c>
      <c r="U34" s="6">
        <f>MAX(1.21,SUMIFS(劳育素质!K:K,劳育素质!B:B,B34,劳育素质!D:D,"=劳动日常考核基础分")+SUMIFS(劳育素质!K:K,劳育素质!B:B,B34,劳育素质!D:D,"=活动与卫生加减分"))</f>
        <v>1.4513888888888891</v>
      </c>
      <c r="V34" s="6">
        <f>SUMIFS(劳育素质!K:K,劳育素质!B:B,B34,劳育素质!D:D,"=志愿服务",劳育素质!F:F,"=A类+B类")</f>
        <v>0</v>
      </c>
      <c r="W34" s="6">
        <f>SUMIFS(劳育素质!K:K,劳育素质!B:B,B34,劳育素质!D:D,"=志愿服务",劳育素质!F:F,"=C类")</f>
        <v>0</v>
      </c>
      <c r="X34" s="6">
        <f t="shared" si="5"/>
        <v>0</v>
      </c>
      <c r="Y34" s="6">
        <f>SUMIFS(劳育素质!K:K,劳育素质!B:B,B34,劳育素质!D:D,"=实习实训")</f>
        <v>0</v>
      </c>
      <c r="Z34" s="6">
        <f t="shared" si="6"/>
        <v>1.4513888888888891</v>
      </c>
      <c r="AA34" s="6">
        <f>SUMIFS(创新与实践素质!L:L,创新与实践素质!B:B,B34,创新与实践素质!D:D,"=创新创业素质")</f>
        <v>0</v>
      </c>
      <c r="AB34" s="6">
        <f>SUMIFS(创新与实践素质!L:L,创新与实践素质!B:B,B34,创新与实践素质!D:D,"=水平考试")</f>
        <v>0</v>
      </c>
      <c r="AC34" s="6">
        <f>SUMIFS(创新与实践素质!L:L,创新与实践素质!B:B,B34,创新与实践素质!D:D,"=社会实践")</f>
        <v>0</v>
      </c>
      <c r="AD34" s="6">
        <f>_xlfn.MAXIFS(创新与实践素质!L:L,创新与实践素质!B:B,B34,创新与实践素质!D:D,"=社会工作能力（工作表现）",创新与实践素质!G:G,"=上学期")+_xlfn.MAXIFS(创新与实践素质!L:L,创新与实践素质!B:B,B34,创新与实践素质!D:D,"=社会工作能力（工作表现）",创新与实践素质!G:G,"=下学期")</f>
        <v>0</v>
      </c>
      <c r="AE34" s="6">
        <f t="shared" si="7"/>
        <v>0</v>
      </c>
      <c r="AF34" s="6">
        <f t="shared" si="8"/>
        <v>57.014128472222225</v>
      </c>
    </row>
    <row r="35" spans="1:32" x14ac:dyDescent="0.3">
      <c r="A35" s="10" t="s">
        <v>59</v>
      </c>
      <c r="B35" s="10" t="s">
        <v>94</v>
      </c>
      <c r="C35" s="10"/>
      <c r="D35" s="6">
        <f>SUMIFS(德育素质!H:H,德育素质!B:B,B35,德育素质!D:D,"=基本评定分")</f>
        <v>5.28</v>
      </c>
      <c r="E35" s="6">
        <f>MIN(2,SUMIFS(德育素质!H:H,德育素质!A:A,A35,德育素质!D:D,"=集体评定等级分",德育素质!E:E,"=班级考评等级")+SUMIFS(德育素质!H:H,德育素质!B:B,B35,德育素质!D:D,"=集体评定等级分"))</f>
        <v>1</v>
      </c>
      <c r="F35" s="6">
        <f>MIN(2,SUMIFS(德育素质!H:H,德育素质!B:B,B35,德育素质!D:D,"=社会责任记实分"))</f>
        <v>0</v>
      </c>
      <c r="G35" s="6">
        <f>SUMIFS(德育素质!H:H,德育素质!B:B,B35,德育素质!D:D,"=违纪违规扣分")</f>
        <v>0</v>
      </c>
      <c r="H35" s="6">
        <f>SUMIFS(德育素质!H:H,德育素质!B:B,B35,德育素质!D:D,"=荣誉称号加分")</f>
        <v>0</v>
      </c>
      <c r="I35" s="6">
        <f t="shared" si="0"/>
        <v>1</v>
      </c>
      <c r="J35" s="6">
        <f t="shared" si="1"/>
        <v>6.28</v>
      </c>
      <c r="K35" s="6">
        <f>(VLOOKUP(B35,智育素质!B:D,3,0)*10+50)*0.6</f>
        <v>39.677999999999997</v>
      </c>
      <c r="L35" s="6">
        <f>SUMIFS(体育素质!J:J,体育素质!B:B,B35,体育素质!D:D,"=体育课程成绩",体育素质!E:E,"=体育成绩")/40</f>
        <v>4.1549999999999994</v>
      </c>
      <c r="M35" s="6">
        <f>SUMIFS(体育素质!L:L,体育素质!B:B,B35,体育素质!D:D,"=校内外体育竞赛")</f>
        <v>0</v>
      </c>
      <c r="N35" s="6">
        <f>SUMIFS(体育素质!L:L,体育素质!B:B,B35,体育素质!D:D,"=校内外体育活动",体育素质!E:E,"=早锻炼")</f>
        <v>0</v>
      </c>
      <c r="O35" s="6">
        <f>SUMIFS(体育素质!L:L,体育素质!B:B,B35,体育素质!D:D,"=校内外体育活动",体育素质!E:E,"=校园跑")</f>
        <v>1</v>
      </c>
      <c r="P35" s="6">
        <f t="shared" si="2"/>
        <v>1</v>
      </c>
      <c r="Q35" s="6">
        <f t="shared" si="3"/>
        <v>5.1549999999999994</v>
      </c>
      <c r="R35" s="6">
        <f>MIN(0.5,SUMIFS(美育素质!L:L,美育素质!B:B,B35,美育素质!D:D,"=文化艺术实践"))</f>
        <v>0</v>
      </c>
      <c r="S35" s="6">
        <f>SUMIFS(美育素质!L:L,美育素质!B:B,B35,美育素质!D:D,"=校内外文化艺术竞赛")</f>
        <v>0</v>
      </c>
      <c r="T35" s="6">
        <f t="shared" si="4"/>
        <v>0</v>
      </c>
      <c r="U35" s="6">
        <f>MAX(1.21,SUMIFS(劳育素质!K:K,劳育素质!B:B,B35,劳育素质!D:D,"=劳动日常考核基础分")+SUMIFS(劳育素质!K:K,劳育素质!B:B,B35,劳育素质!D:D,"=活动与卫生加减分"))</f>
        <v>1.5276000000000001</v>
      </c>
      <c r="V35" s="6">
        <f>SUMIFS(劳育素质!K:K,劳育素质!B:B,B35,劳育素质!D:D,"=志愿服务",劳育素质!F:F,"=A类+B类")</f>
        <v>0</v>
      </c>
      <c r="W35" s="6">
        <f>SUMIFS(劳育素质!K:K,劳育素质!B:B,B35,劳育素质!D:D,"=志愿服务",劳育素质!F:F,"=C类")</f>
        <v>0</v>
      </c>
      <c r="X35" s="6">
        <f t="shared" si="5"/>
        <v>0</v>
      </c>
      <c r="Y35" s="6">
        <f>SUMIFS(劳育素质!K:K,劳育素质!B:B,B35,劳育素质!D:D,"=实习实训")</f>
        <v>0</v>
      </c>
      <c r="Z35" s="6">
        <f t="shared" si="6"/>
        <v>1.5276000000000001</v>
      </c>
      <c r="AA35" s="6">
        <f>SUMIFS(创新与实践素质!L:L,创新与实践素质!B:B,B35,创新与实践素质!D:D,"=创新创业素质")</f>
        <v>0</v>
      </c>
      <c r="AB35" s="6">
        <f>SUMIFS(创新与实践素质!L:L,创新与实践素质!B:B,B35,创新与实践素质!D:D,"=水平考试")</f>
        <v>0</v>
      </c>
      <c r="AC35" s="6">
        <f>SUMIFS(创新与实践素质!L:L,创新与实践素质!B:B,B35,创新与实践素质!D:D,"=社会实践")</f>
        <v>0</v>
      </c>
      <c r="AD35" s="6">
        <f>_xlfn.MAXIFS(创新与实践素质!L:L,创新与实践素质!B:B,B35,创新与实践素质!D:D,"=社会工作能力（工作表现）",创新与实践素质!G:G,"=上学期")+_xlfn.MAXIFS(创新与实践素质!L:L,创新与实践素质!B:B,B35,创新与实践素质!D:D,"=社会工作能力（工作表现）",创新与实践素质!G:G,"=下学期")</f>
        <v>0</v>
      </c>
      <c r="AE35" s="6">
        <f t="shared" si="7"/>
        <v>0</v>
      </c>
      <c r="AF35" s="6">
        <f t="shared" si="8"/>
        <v>52.640599999999999</v>
      </c>
    </row>
    <row r="36" spans="1:32" x14ac:dyDescent="0.3">
      <c r="A36" s="10" t="s">
        <v>59</v>
      </c>
      <c r="B36" s="10" t="s">
        <v>95</v>
      </c>
      <c r="C36" s="10"/>
      <c r="D36" s="6">
        <f>SUMIFS(德育素质!H:H,德育素质!B:B,B36,德育素质!D:D,"=基本评定分")</f>
        <v>5.28</v>
      </c>
      <c r="E36" s="6">
        <f>MIN(2,SUMIFS(德育素质!H:H,德育素质!A:A,A36,德育素质!D:D,"=集体评定等级分",德育素质!E:E,"=班级考评等级")+SUMIFS(德育素质!H:H,德育素质!B:B,B36,德育素质!D:D,"=集体评定等级分"))</f>
        <v>1</v>
      </c>
      <c r="F36" s="6">
        <f>MIN(2,SUMIFS(德育素质!H:H,德育素质!B:B,B36,德育素质!D:D,"=社会责任记实分"))</f>
        <v>0</v>
      </c>
      <c r="G36" s="6">
        <f>SUMIFS(德育素质!H:H,德育素质!B:B,B36,德育素质!D:D,"=违纪违规扣分")</f>
        <v>0</v>
      </c>
      <c r="H36" s="6">
        <f>SUMIFS(德育素质!H:H,德育素质!B:B,B36,德育素质!D:D,"=荣誉称号加分")</f>
        <v>0</v>
      </c>
      <c r="I36" s="6">
        <f t="shared" si="0"/>
        <v>1</v>
      </c>
      <c r="J36" s="6">
        <f t="shared" si="1"/>
        <v>6.28</v>
      </c>
      <c r="K36" s="6">
        <f>(VLOOKUP(B36,智育素质!B:D,3,0)*10+50)*0.6</f>
        <v>41.645999999999994</v>
      </c>
      <c r="L36" s="6">
        <f>SUMIFS(体育素质!J:J,体育素质!B:B,B36,体育素质!D:D,"=体育课程成绩",体育素质!E:E,"=体育成绩")/40</f>
        <v>3.3</v>
      </c>
      <c r="M36" s="6">
        <f>SUMIFS(体育素质!L:L,体育素质!B:B,B36,体育素质!D:D,"=校内外体育竞赛")</f>
        <v>0</v>
      </c>
      <c r="N36" s="6">
        <f>SUMIFS(体育素质!L:L,体育素质!B:B,B36,体育素质!D:D,"=校内外体育活动",体育素质!E:E,"=早锻炼")</f>
        <v>0</v>
      </c>
      <c r="O36" s="6">
        <f>SUMIFS(体育素质!L:L,体育素质!B:B,B36,体育素质!D:D,"=校内外体育活动",体育素质!E:E,"=校园跑")</f>
        <v>0.125</v>
      </c>
      <c r="P36" s="6">
        <f t="shared" si="2"/>
        <v>0.125</v>
      </c>
      <c r="Q36" s="6">
        <f t="shared" si="3"/>
        <v>3.4249999999999998</v>
      </c>
      <c r="R36" s="6">
        <f>MIN(0.5,SUMIFS(美育素质!L:L,美育素质!B:B,B36,美育素质!D:D,"=文化艺术实践"))</f>
        <v>0</v>
      </c>
      <c r="S36" s="6">
        <f>SUMIFS(美育素质!L:L,美育素质!B:B,B36,美育素质!D:D,"=校内外文化艺术竞赛")</f>
        <v>0</v>
      </c>
      <c r="T36" s="6">
        <f t="shared" si="4"/>
        <v>0</v>
      </c>
      <c r="U36" s="6">
        <f>MAX(1.21,SUMIFS(劳育素质!K:K,劳育素质!B:B,B36,劳育素质!D:D,"=劳动日常考核基础分")+SUMIFS(劳育素质!K:K,劳育素质!B:B,B36,劳育素质!D:D,"=活动与卫生加减分"))</f>
        <v>1.2112666666666669</v>
      </c>
      <c r="V36" s="6">
        <f>SUMIFS(劳育素质!K:K,劳育素质!B:B,B36,劳育素质!D:D,"=志愿服务",劳育素质!F:F,"=A类+B类")</f>
        <v>0</v>
      </c>
      <c r="W36" s="6">
        <f>SUMIFS(劳育素质!K:K,劳育素质!B:B,B36,劳育素质!D:D,"=志愿服务",劳育素质!F:F,"=C类")</f>
        <v>0</v>
      </c>
      <c r="X36" s="6">
        <f t="shared" si="5"/>
        <v>0</v>
      </c>
      <c r="Y36" s="6">
        <f>SUMIFS(劳育素质!K:K,劳育素质!B:B,B36,劳育素质!D:D,"=实习实训")</f>
        <v>0</v>
      </c>
      <c r="Z36" s="6">
        <f t="shared" si="6"/>
        <v>1.2112666666666669</v>
      </c>
      <c r="AA36" s="6">
        <f>SUMIFS(创新与实践素质!L:L,创新与实践素质!B:B,B36,创新与实践素质!D:D,"=创新创业素质")</f>
        <v>0</v>
      </c>
      <c r="AB36" s="6">
        <f>SUMIFS(创新与实践素质!L:L,创新与实践素质!B:B,B36,创新与实践素质!D:D,"=水平考试")</f>
        <v>0</v>
      </c>
      <c r="AC36" s="6">
        <f>SUMIFS(创新与实践素质!L:L,创新与实践素质!B:B,B36,创新与实践素质!D:D,"=社会实践")</f>
        <v>0</v>
      </c>
      <c r="AD36" s="6">
        <f>_xlfn.MAXIFS(创新与实践素质!L:L,创新与实践素质!B:B,B36,创新与实践素质!D:D,"=社会工作能力（工作表现）",创新与实践素质!G:G,"=上学期")+_xlfn.MAXIFS(创新与实践素质!L:L,创新与实践素质!B:B,B36,创新与实践素质!D:D,"=社会工作能力（工作表现）",创新与实践素质!G:G,"=下学期")</f>
        <v>0</v>
      </c>
      <c r="AE36" s="6">
        <f t="shared" si="7"/>
        <v>0</v>
      </c>
      <c r="AF36" s="6">
        <f t="shared" si="8"/>
        <v>52.562266666666659</v>
      </c>
    </row>
    <row r="37" spans="1:32" x14ac:dyDescent="0.3">
      <c r="A37" s="10" t="s">
        <v>59</v>
      </c>
      <c r="B37" s="10" t="s">
        <v>96</v>
      </c>
      <c r="C37" s="10"/>
      <c r="D37" s="6">
        <f>SUMIFS(德育素质!H:H,德育素质!B:B,B37,德育素质!D:D,"=基本评定分")</f>
        <v>5.28</v>
      </c>
      <c r="E37" s="6">
        <f>MIN(2,SUMIFS(德育素质!H:H,德育素质!A:A,A37,德育素质!D:D,"=集体评定等级分",德育素质!E:E,"=班级考评等级")+SUMIFS(德育素质!H:H,德育素质!B:B,B37,德育素质!D:D,"=集体评定等级分"))</f>
        <v>1</v>
      </c>
      <c r="F37" s="6">
        <f>MIN(2,SUMIFS(德育素质!H:H,德育素质!B:B,B37,德育素质!D:D,"=社会责任记实分"))</f>
        <v>0</v>
      </c>
      <c r="G37" s="6">
        <f>SUMIFS(德育素质!H:H,德育素质!B:B,B37,德育素质!D:D,"=违纪违规扣分")</f>
        <v>0</v>
      </c>
      <c r="H37" s="6">
        <f>SUMIFS(德育素质!H:H,德育素质!B:B,B37,德育素质!D:D,"=荣誉称号加分")</f>
        <v>0</v>
      </c>
      <c r="I37" s="6">
        <f t="shared" si="0"/>
        <v>1</v>
      </c>
      <c r="J37" s="6">
        <f t="shared" si="1"/>
        <v>6.28</v>
      </c>
      <c r="K37" s="6">
        <f>(VLOOKUP(B37,智育素质!B:D,3,0)*10+50)*0.6</f>
        <v>44.052</v>
      </c>
      <c r="L37" s="6">
        <f>SUMIFS(体育素质!J:J,体育素质!B:B,B37,体育素质!D:D,"=体育课程成绩",体育素质!E:E,"=体育成绩")/40</f>
        <v>3.53</v>
      </c>
      <c r="M37" s="6">
        <f>SUMIFS(体育素质!L:L,体育素质!B:B,B37,体育素质!D:D,"=校内外体育竞赛")</f>
        <v>0</v>
      </c>
      <c r="N37" s="6">
        <f>SUMIFS(体育素质!L:L,体育素质!B:B,B37,体育素质!D:D,"=校内外体育活动",体育素质!E:E,"=早锻炼")</f>
        <v>0</v>
      </c>
      <c r="O37" s="6">
        <f>SUMIFS(体育素质!L:L,体育素质!B:B,B37,体育素质!D:D,"=校内外体育活动",体育素质!E:E,"=校园跑")</f>
        <v>0.63692708333333337</v>
      </c>
      <c r="P37" s="6">
        <f t="shared" si="2"/>
        <v>0.63692708333333337</v>
      </c>
      <c r="Q37" s="6">
        <f t="shared" si="3"/>
        <v>4.1669270833333334</v>
      </c>
      <c r="R37" s="6">
        <f>MIN(0.5,SUMIFS(美育素质!L:L,美育素质!B:B,B37,美育素质!D:D,"=文化艺术实践"))</f>
        <v>0</v>
      </c>
      <c r="S37" s="6">
        <f>SUMIFS(美育素质!L:L,美育素质!B:B,B37,美育素质!D:D,"=校内外文化艺术竞赛")</f>
        <v>0</v>
      </c>
      <c r="T37" s="6">
        <f t="shared" si="4"/>
        <v>0</v>
      </c>
      <c r="U37" s="6">
        <f>MAX(1.21,SUMIFS(劳育素质!K:K,劳育素质!B:B,B37,劳育素质!D:D,"=劳动日常考核基础分")+SUMIFS(劳育素质!K:K,劳育素质!B:B,B37,劳育素质!D:D,"=活动与卫生加减分"))</f>
        <v>1.4513888888888891</v>
      </c>
      <c r="V37" s="6">
        <f>SUMIFS(劳育素质!K:K,劳育素质!B:B,B37,劳育素质!D:D,"=志愿服务",劳育素质!F:F,"=A类+B类")</f>
        <v>0</v>
      </c>
      <c r="W37" s="6">
        <f>SUMIFS(劳育素质!K:K,劳育素质!B:B,B37,劳育素质!D:D,"=志愿服务",劳育素质!F:F,"=C类")</f>
        <v>0</v>
      </c>
      <c r="X37" s="6">
        <f t="shared" si="5"/>
        <v>0</v>
      </c>
      <c r="Y37" s="6">
        <f>SUMIFS(劳育素质!K:K,劳育素质!B:B,B37,劳育素质!D:D,"=实习实训")</f>
        <v>0</v>
      </c>
      <c r="Z37" s="6">
        <f t="shared" si="6"/>
        <v>1.4513888888888891</v>
      </c>
      <c r="AA37" s="6">
        <f>SUMIFS(创新与实践素质!L:L,创新与实践素质!B:B,B37,创新与实践素质!D:D,"=创新创业素质")</f>
        <v>0</v>
      </c>
      <c r="AB37" s="6">
        <f>SUMIFS(创新与实践素质!L:L,创新与实践素质!B:B,B37,创新与实践素质!D:D,"=水平考试")</f>
        <v>0</v>
      </c>
      <c r="AC37" s="6">
        <f>SUMIFS(创新与实践素质!L:L,创新与实践素质!B:B,B37,创新与实践素质!D:D,"=社会实践")</f>
        <v>0</v>
      </c>
      <c r="AD37" s="6">
        <f>_xlfn.MAXIFS(创新与实践素质!L:L,创新与实践素质!B:B,B37,创新与实践素质!D:D,"=社会工作能力（工作表现）",创新与实践素质!G:G,"=上学期")+_xlfn.MAXIFS(创新与实践素质!L:L,创新与实践素质!B:B,B37,创新与实践素质!D:D,"=社会工作能力（工作表现）",创新与实践素质!G:G,"=下学期")</f>
        <v>0</v>
      </c>
      <c r="AE37" s="6">
        <f t="shared" si="7"/>
        <v>0</v>
      </c>
      <c r="AF37" s="6">
        <f t="shared" si="8"/>
        <v>55.950315972222221</v>
      </c>
    </row>
    <row r="38" spans="1:32" x14ac:dyDescent="0.3">
      <c r="A38" s="10" t="s">
        <v>59</v>
      </c>
      <c r="B38" s="10" t="s">
        <v>97</v>
      </c>
      <c r="C38" s="10"/>
      <c r="D38" s="6">
        <f>SUMIFS(德育素质!H:H,德育素质!B:B,B38,德育素质!D:D,"=基本评定分")</f>
        <v>5.28</v>
      </c>
      <c r="E38" s="6">
        <f>MIN(2,SUMIFS(德育素质!H:H,德育素质!A:A,A38,德育素质!D:D,"=集体评定等级分",德育素质!E:E,"=班级考评等级")+SUMIFS(德育素质!H:H,德育素质!B:B,B38,德育素质!D:D,"=集体评定等级分"))</f>
        <v>1</v>
      </c>
      <c r="F38" s="6">
        <f>MIN(2,SUMIFS(德育素质!H:H,德育素质!B:B,B38,德育素质!D:D,"=社会责任记实分"))</f>
        <v>0</v>
      </c>
      <c r="G38" s="6">
        <f>SUMIFS(德育素质!H:H,德育素质!B:B,B38,德育素质!D:D,"=违纪违规扣分")</f>
        <v>0</v>
      </c>
      <c r="H38" s="6">
        <f>SUMIFS(德育素质!H:H,德育素质!B:B,B38,德育素质!D:D,"=荣誉称号加分")</f>
        <v>0</v>
      </c>
      <c r="I38" s="6">
        <f t="shared" si="0"/>
        <v>1</v>
      </c>
      <c r="J38" s="6">
        <f t="shared" si="1"/>
        <v>6.28</v>
      </c>
      <c r="K38" s="6">
        <f>(VLOOKUP(B38,智育素质!B:D,3,0)*10+50)*0.6</f>
        <v>43.415999999999997</v>
      </c>
      <c r="L38" s="6">
        <f>SUMIFS(体育素质!J:J,体育素质!B:B,B38,体育素质!D:D,"=体育课程成绩",体育素质!E:E,"=体育成绩")/40</f>
        <v>3.2749999999999999</v>
      </c>
      <c r="M38" s="6">
        <f>SUMIFS(体育素质!L:L,体育素质!B:B,B38,体育素质!D:D,"=校内外体育竞赛")</f>
        <v>0</v>
      </c>
      <c r="N38" s="6">
        <f>SUMIFS(体育素质!L:L,体育素质!B:B,B38,体育素质!D:D,"=校内外体育活动",体育素质!E:E,"=早锻炼")</f>
        <v>0</v>
      </c>
      <c r="O38" s="6">
        <f>SUMIFS(体育素质!L:L,体育素质!B:B,B38,体育素质!D:D,"=校内外体育活动",体育素质!E:E,"=校园跑")</f>
        <v>0.625</v>
      </c>
      <c r="P38" s="6">
        <f t="shared" si="2"/>
        <v>0.625</v>
      </c>
      <c r="Q38" s="6">
        <f t="shared" si="3"/>
        <v>3.9</v>
      </c>
      <c r="R38" s="6">
        <f>MIN(0.5,SUMIFS(美育素质!L:L,美育素质!B:B,B38,美育素质!D:D,"=文化艺术实践"))</f>
        <v>0</v>
      </c>
      <c r="S38" s="6">
        <f>SUMIFS(美育素质!L:L,美育素质!B:B,B38,美育素质!D:D,"=校内外文化艺术竞赛")</f>
        <v>0</v>
      </c>
      <c r="T38" s="6">
        <f t="shared" si="4"/>
        <v>0</v>
      </c>
      <c r="U38" s="6">
        <f>MAX(1.21,SUMIFS(劳育素质!K:K,劳育素质!B:B,B38,劳育素质!D:D,"=劳动日常考核基础分")+SUMIFS(劳育素质!K:K,劳育素质!B:B,B38,劳育素质!D:D,"=活动与卫生加减分"))</f>
        <v>1.4513888888888891</v>
      </c>
      <c r="V38" s="6">
        <f>SUMIFS(劳育素质!K:K,劳育素质!B:B,B38,劳育素质!D:D,"=志愿服务",劳育素质!F:F,"=A类+B类")</f>
        <v>0</v>
      </c>
      <c r="W38" s="6">
        <f>SUMIFS(劳育素质!K:K,劳育素质!B:B,B38,劳育素质!D:D,"=志愿服务",劳育素质!F:F,"=C类")</f>
        <v>0</v>
      </c>
      <c r="X38" s="6">
        <f t="shared" si="5"/>
        <v>0</v>
      </c>
      <c r="Y38" s="6">
        <f>SUMIFS(劳育素质!K:K,劳育素质!B:B,B38,劳育素质!D:D,"=实习实训")</f>
        <v>0</v>
      </c>
      <c r="Z38" s="6">
        <f t="shared" si="6"/>
        <v>1.4513888888888891</v>
      </c>
      <c r="AA38" s="6">
        <f>SUMIFS(创新与实践素质!L:L,创新与实践素质!B:B,B38,创新与实践素质!D:D,"=创新创业素质")</f>
        <v>0</v>
      </c>
      <c r="AB38" s="6">
        <f>SUMIFS(创新与实践素质!L:L,创新与实践素质!B:B,B38,创新与实践素质!D:D,"=水平考试")</f>
        <v>0</v>
      </c>
      <c r="AC38" s="6">
        <f>SUMIFS(创新与实践素质!L:L,创新与实践素质!B:B,B38,创新与实践素质!D:D,"=社会实践")</f>
        <v>0</v>
      </c>
      <c r="AD38" s="6">
        <f>_xlfn.MAXIFS(创新与实践素质!L:L,创新与实践素质!B:B,B38,创新与实践素质!D:D,"=社会工作能力（工作表现）",创新与实践素质!G:G,"=上学期")+_xlfn.MAXIFS(创新与实践素质!L:L,创新与实践素质!B:B,B38,创新与实践素质!D:D,"=社会工作能力（工作表现）",创新与实践素质!G:G,"=下学期")</f>
        <v>0</v>
      </c>
      <c r="AE38" s="6">
        <f t="shared" si="7"/>
        <v>0</v>
      </c>
      <c r="AF38" s="6">
        <f t="shared" si="8"/>
        <v>55.047388888888889</v>
      </c>
    </row>
  </sheetData>
  <autoFilter ref="A3:AF38" xr:uid="{00000000-0001-0000-0200-000000000000}"/>
  <mergeCells count="28">
    <mergeCell ref="L1:Q1"/>
    <mergeCell ref="R1:T1"/>
    <mergeCell ref="U1:Z1"/>
    <mergeCell ref="AA1:AE1"/>
    <mergeCell ref="E2:I2"/>
    <mergeCell ref="M2:P2"/>
    <mergeCell ref="V2:X2"/>
    <mergeCell ref="K1:K3"/>
    <mergeCell ref="L2:L3"/>
    <mergeCell ref="Q2:Q3"/>
    <mergeCell ref="R2:R3"/>
    <mergeCell ref="S2:S3"/>
    <mergeCell ref="T2:T3"/>
    <mergeCell ref="U2:U3"/>
    <mergeCell ref="AD2:AD3"/>
    <mergeCell ref="AE2:AE3"/>
    <mergeCell ref="A1:A3"/>
    <mergeCell ref="B1:B3"/>
    <mergeCell ref="C1:C3"/>
    <mergeCell ref="D2:D3"/>
    <mergeCell ref="J2:J3"/>
    <mergeCell ref="D1:J1"/>
    <mergeCell ref="AF1:AF3"/>
    <mergeCell ref="Y2:Y3"/>
    <mergeCell ref="Z2:Z3"/>
    <mergeCell ref="AA2:AA3"/>
    <mergeCell ref="AB2:AB3"/>
    <mergeCell ref="AC2:AC3"/>
  </mergeCells>
  <phoneticPr fontId="7" type="noConversion"/>
  <pageMargins left="0.75" right="0.75" top="1" bottom="1" header="0.5" footer="0.5"/>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8"/>
  <sheetViews>
    <sheetView topLeftCell="B1" zoomScale="93" workbookViewId="0">
      <selection activeCell="E48" sqref="E48"/>
    </sheetView>
  </sheetViews>
  <sheetFormatPr defaultColWidth="9.19921875" defaultRowHeight="13.5" x14ac:dyDescent="0.3"/>
  <cols>
    <col min="1" max="1" width="48" bestFit="1" customWidth="1"/>
    <col min="2" max="2" width="14.33203125" bestFit="1" customWidth="1"/>
    <col min="3" max="3" width="9.33203125" bestFit="1" customWidth="1"/>
    <col min="4" max="4" width="17.59765625" customWidth="1"/>
    <col min="5" max="5" width="90.59765625" bestFit="1" customWidth="1"/>
    <col min="6" max="6" width="6" customWidth="1"/>
    <col min="7" max="7" width="8.1328125" customWidth="1"/>
    <col min="8" max="8" width="6" style="21" customWidth="1"/>
  </cols>
  <sheetData>
    <row r="1" spans="1:8" x14ac:dyDescent="0.3">
      <c r="A1" s="2" t="s">
        <v>0</v>
      </c>
      <c r="B1" s="2" t="s">
        <v>1</v>
      </c>
      <c r="C1" s="2" t="s">
        <v>2</v>
      </c>
      <c r="D1" s="2" t="s">
        <v>40</v>
      </c>
      <c r="E1" s="2" t="s">
        <v>41</v>
      </c>
      <c r="F1" s="2" t="s">
        <v>42</v>
      </c>
      <c r="G1" s="2" t="s">
        <v>43</v>
      </c>
      <c r="H1" s="19" t="s">
        <v>44</v>
      </c>
    </row>
    <row r="2" spans="1:8" x14ac:dyDescent="0.3">
      <c r="A2" s="10" t="s">
        <v>59</v>
      </c>
      <c r="B2" s="13" t="s">
        <v>98</v>
      </c>
      <c r="C2" s="14"/>
      <c r="D2" s="8" t="s">
        <v>46</v>
      </c>
      <c r="E2" s="2"/>
      <c r="F2" s="5" t="s">
        <v>45</v>
      </c>
      <c r="G2" s="2"/>
      <c r="H2" s="19">
        <f>IF(F2="B",5.28,6)</f>
        <v>5.28</v>
      </c>
    </row>
    <row r="3" spans="1:8" x14ac:dyDescent="0.3">
      <c r="A3" s="10" t="s">
        <v>59</v>
      </c>
      <c r="B3" s="15" t="s">
        <v>92</v>
      </c>
      <c r="C3" s="14"/>
      <c r="D3" s="8" t="s">
        <v>46</v>
      </c>
      <c r="E3" s="2"/>
      <c r="F3" s="5" t="s">
        <v>45</v>
      </c>
      <c r="G3" s="2"/>
      <c r="H3" s="19">
        <f t="shared" ref="H3:H35" si="0">IF(F3="B",5.28,6)</f>
        <v>5.28</v>
      </c>
    </row>
    <row r="4" spans="1:8" x14ac:dyDescent="0.3">
      <c r="A4" s="10" t="s">
        <v>59</v>
      </c>
      <c r="B4" s="15" t="s">
        <v>74</v>
      </c>
      <c r="C4" s="14"/>
      <c r="D4" s="8" t="s">
        <v>46</v>
      </c>
      <c r="E4" s="6"/>
      <c r="F4" s="5" t="s">
        <v>47</v>
      </c>
      <c r="G4" s="2"/>
      <c r="H4" s="19">
        <f t="shared" si="0"/>
        <v>6</v>
      </c>
    </row>
    <row r="5" spans="1:8" x14ac:dyDescent="0.3">
      <c r="A5" s="10" t="s">
        <v>59</v>
      </c>
      <c r="B5" s="15" t="s">
        <v>97</v>
      </c>
      <c r="C5" s="14"/>
      <c r="D5" s="8" t="s">
        <v>46</v>
      </c>
      <c r="E5" s="6"/>
      <c r="F5" s="5" t="s">
        <v>45</v>
      </c>
      <c r="G5" s="2"/>
      <c r="H5" s="19">
        <f t="shared" si="0"/>
        <v>5.28</v>
      </c>
    </row>
    <row r="6" spans="1:8" x14ac:dyDescent="0.3">
      <c r="A6" s="10" t="s">
        <v>59</v>
      </c>
      <c r="B6" s="15" t="s">
        <v>73</v>
      </c>
      <c r="C6" s="14"/>
      <c r="D6" s="8" t="s">
        <v>46</v>
      </c>
      <c r="E6" s="6"/>
      <c r="F6" s="5" t="s">
        <v>47</v>
      </c>
      <c r="G6" s="2"/>
      <c r="H6" s="19">
        <f t="shared" si="0"/>
        <v>6</v>
      </c>
    </row>
    <row r="7" spans="1:8" x14ac:dyDescent="0.3">
      <c r="A7" s="10" t="s">
        <v>59</v>
      </c>
      <c r="B7" s="15" t="s">
        <v>82</v>
      </c>
      <c r="C7" s="14"/>
      <c r="D7" s="8" t="s">
        <v>46</v>
      </c>
      <c r="E7" s="6"/>
      <c r="F7" s="5" t="s">
        <v>45</v>
      </c>
      <c r="G7" s="2"/>
      <c r="H7" s="19">
        <f t="shared" si="0"/>
        <v>5.28</v>
      </c>
    </row>
    <row r="8" spans="1:8" x14ac:dyDescent="0.3">
      <c r="A8" s="10" t="s">
        <v>59</v>
      </c>
      <c r="B8" s="15" t="s">
        <v>71</v>
      </c>
      <c r="C8" s="14"/>
      <c r="D8" s="8" t="s">
        <v>46</v>
      </c>
      <c r="E8" s="3"/>
      <c r="F8" s="5" t="s">
        <v>47</v>
      </c>
      <c r="G8" s="2"/>
      <c r="H8" s="19">
        <f t="shared" si="0"/>
        <v>6</v>
      </c>
    </row>
    <row r="9" spans="1:8" x14ac:dyDescent="0.3">
      <c r="A9" s="10" t="s">
        <v>59</v>
      </c>
      <c r="B9" s="15" t="s">
        <v>72</v>
      </c>
      <c r="C9" s="14"/>
      <c r="D9" s="8" t="s">
        <v>46</v>
      </c>
      <c r="E9" s="3"/>
      <c r="F9" s="5" t="s">
        <v>47</v>
      </c>
      <c r="G9" s="2"/>
      <c r="H9" s="19">
        <f t="shared" si="0"/>
        <v>6</v>
      </c>
    </row>
    <row r="10" spans="1:8" x14ac:dyDescent="0.3">
      <c r="A10" s="10" t="s">
        <v>59</v>
      </c>
      <c r="B10" s="15" t="s">
        <v>80</v>
      </c>
      <c r="C10" s="14"/>
      <c r="D10" s="8" t="s">
        <v>46</v>
      </c>
      <c r="E10" s="3"/>
      <c r="F10" s="5" t="s">
        <v>45</v>
      </c>
      <c r="G10" s="2"/>
      <c r="H10" s="19">
        <f t="shared" si="0"/>
        <v>5.28</v>
      </c>
    </row>
    <row r="11" spans="1:8" x14ac:dyDescent="0.3">
      <c r="A11" s="10" t="s">
        <v>59</v>
      </c>
      <c r="B11" s="15" t="s">
        <v>87</v>
      </c>
      <c r="C11" s="14"/>
      <c r="D11" s="8" t="s">
        <v>46</v>
      </c>
      <c r="E11" s="3"/>
      <c r="F11" s="5" t="s">
        <v>47</v>
      </c>
      <c r="G11" s="2"/>
      <c r="H11" s="19">
        <f t="shared" si="0"/>
        <v>6</v>
      </c>
    </row>
    <row r="12" spans="1:8" x14ac:dyDescent="0.3">
      <c r="A12" s="10" t="s">
        <v>59</v>
      </c>
      <c r="B12" s="15" t="s">
        <v>76</v>
      </c>
      <c r="C12" s="14"/>
      <c r="D12" s="8" t="s">
        <v>46</v>
      </c>
      <c r="E12" s="2"/>
      <c r="F12" s="5" t="s">
        <v>45</v>
      </c>
      <c r="G12" s="2"/>
      <c r="H12" s="19">
        <f t="shared" si="0"/>
        <v>5.28</v>
      </c>
    </row>
    <row r="13" spans="1:8" x14ac:dyDescent="0.3">
      <c r="A13" s="10" t="s">
        <v>59</v>
      </c>
      <c r="B13" s="15" t="s">
        <v>75</v>
      </c>
      <c r="C13" s="14"/>
      <c r="D13" s="8" t="s">
        <v>46</v>
      </c>
      <c r="E13" s="3"/>
      <c r="F13" s="5" t="s">
        <v>45</v>
      </c>
      <c r="G13" s="2"/>
      <c r="H13" s="19">
        <f t="shared" si="0"/>
        <v>5.28</v>
      </c>
    </row>
    <row r="14" spans="1:8" x14ac:dyDescent="0.3">
      <c r="A14" s="10" t="s">
        <v>59</v>
      </c>
      <c r="B14" s="15" t="s">
        <v>61</v>
      </c>
      <c r="C14" s="14"/>
      <c r="D14" s="8" t="s">
        <v>46</v>
      </c>
      <c r="E14" s="2"/>
      <c r="F14" s="5" t="s">
        <v>47</v>
      </c>
      <c r="G14" s="2"/>
      <c r="H14" s="19">
        <f t="shared" si="0"/>
        <v>6</v>
      </c>
    </row>
    <row r="15" spans="1:8" x14ac:dyDescent="0.3">
      <c r="A15" s="10" t="s">
        <v>59</v>
      </c>
      <c r="B15" s="15" t="s">
        <v>65</v>
      </c>
      <c r="C15" s="14"/>
      <c r="D15" s="8" t="s">
        <v>46</v>
      </c>
      <c r="E15" s="6"/>
      <c r="F15" s="5" t="s">
        <v>47</v>
      </c>
      <c r="G15" s="2"/>
      <c r="H15" s="19">
        <f t="shared" si="0"/>
        <v>6</v>
      </c>
    </row>
    <row r="16" spans="1:8" x14ac:dyDescent="0.3">
      <c r="A16" s="10" t="s">
        <v>59</v>
      </c>
      <c r="B16" s="15" t="s">
        <v>90</v>
      </c>
      <c r="C16" s="14"/>
      <c r="D16" s="8" t="s">
        <v>46</v>
      </c>
      <c r="E16" s="6"/>
      <c r="F16" s="5" t="s">
        <v>45</v>
      </c>
      <c r="G16" s="2"/>
      <c r="H16" s="19">
        <f t="shared" si="0"/>
        <v>5.28</v>
      </c>
    </row>
    <row r="17" spans="1:8" x14ac:dyDescent="0.3">
      <c r="A17" s="10" t="s">
        <v>59</v>
      </c>
      <c r="B17" s="15" t="s">
        <v>85</v>
      </c>
      <c r="C17" s="14"/>
      <c r="D17" s="8" t="s">
        <v>46</v>
      </c>
      <c r="E17" s="2"/>
      <c r="F17" s="5" t="s">
        <v>47</v>
      </c>
      <c r="G17" s="2"/>
      <c r="H17" s="19">
        <f t="shared" si="0"/>
        <v>6</v>
      </c>
    </row>
    <row r="18" spans="1:8" x14ac:dyDescent="0.3">
      <c r="A18" s="10" t="s">
        <v>59</v>
      </c>
      <c r="B18" s="15" t="s">
        <v>81</v>
      </c>
      <c r="C18" s="14"/>
      <c r="D18" s="8" t="s">
        <v>46</v>
      </c>
      <c r="E18" s="2"/>
      <c r="F18" s="5" t="s">
        <v>45</v>
      </c>
      <c r="G18" s="2"/>
      <c r="H18" s="19">
        <f t="shared" si="0"/>
        <v>5.28</v>
      </c>
    </row>
    <row r="19" spans="1:8" x14ac:dyDescent="0.3">
      <c r="A19" s="10" t="s">
        <v>59</v>
      </c>
      <c r="B19" s="15" t="s">
        <v>77</v>
      </c>
      <c r="C19" s="14"/>
      <c r="D19" s="8" t="s">
        <v>46</v>
      </c>
      <c r="E19" s="2"/>
      <c r="F19" s="5" t="s">
        <v>45</v>
      </c>
      <c r="G19" s="2"/>
      <c r="H19" s="19">
        <f t="shared" si="0"/>
        <v>5.28</v>
      </c>
    </row>
    <row r="20" spans="1:8" x14ac:dyDescent="0.3">
      <c r="A20" s="10" t="s">
        <v>59</v>
      </c>
      <c r="B20" s="15" t="s">
        <v>96</v>
      </c>
      <c r="C20" s="14"/>
      <c r="D20" s="8" t="s">
        <v>46</v>
      </c>
      <c r="E20" s="2"/>
      <c r="F20" s="5" t="s">
        <v>45</v>
      </c>
      <c r="G20" s="2"/>
      <c r="H20" s="19">
        <f t="shared" si="0"/>
        <v>5.28</v>
      </c>
    </row>
    <row r="21" spans="1:8" x14ac:dyDescent="0.3">
      <c r="A21" s="10" t="s">
        <v>59</v>
      </c>
      <c r="B21" s="15" t="s">
        <v>88</v>
      </c>
      <c r="C21" s="14"/>
      <c r="D21" s="8" t="s">
        <v>46</v>
      </c>
      <c r="E21" s="7"/>
      <c r="F21" s="5" t="s">
        <v>45</v>
      </c>
      <c r="G21" s="7"/>
      <c r="H21" s="19">
        <f t="shared" si="0"/>
        <v>5.28</v>
      </c>
    </row>
    <row r="22" spans="1:8" x14ac:dyDescent="0.3">
      <c r="A22" s="10" t="s">
        <v>59</v>
      </c>
      <c r="B22" s="15" t="s">
        <v>89</v>
      </c>
      <c r="C22" s="14"/>
      <c r="D22" s="8" t="s">
        <v>46</v>
      </c>
      <c r="E22" s="7"/>
      <c r="F22" s="5" t="s">
        <v>45</v>
      </c>
      <c r="G22" s="7"/>
      <c r="H22" s="19">
        <f t="shared" si="0"/>
        <v>5.28</v>
      </c>
    </row>
    <row r="23" spans="1:8" x14ac:dyDescent="0.3">
      <c r="A23" s="10" t="s">
        <v>59</v>
      </c>
      <c r="B23" s="15" t="s">
        <v>64</v>
      </c>
      <c r="C23" s="14"/>
      <c r="D23" s="8" t="s">
        <v>46</v>
      </c>
      <c r="E23" s="7"/>
      <c r="F23" s="5" t="s">
        <v>45</v>
      </c>
      <c r="G23" s="7"/>
      <c r="H23" s="19">
        <f>IF(F23="B",5.28,6)</f>
        <v>5.28</v>
      </c>
    </row>
    <row r="24" spans="1:8" x14ac:dyDescent="0.3">
      <c r="A24" s="10" t="s">
        <v>59</v>
      </c>
      <c r="B24" s="15" t="s">
        <v>78</v>
      </c>
      <c r="C24" s="14"/>
      <c r="D24" s="8" t="s">
        <v>46</v>
      </c>
      <c r="E24" s="7"/>
      <c r="F24" s="5" t="s">
        <v>45</v>
      </c>
      <c r="G24" s="7"/>
      <c r="H24" s="19">
        <f t="shared" si="0"/>
        <v>5.28</v>
      </c>
    </row>
    <row r="25" spans="1:8" x14ac:dyDescent="0.3">
      <c r="A25" s="10" t="s">
        <v>59</v>
      </c>
      <c r="B25" s="15" t="s">
        <v>84</v>
      </c>
      <c r="C25" s="14"/>
      <c r="D25" s="8" t="s">
        <v>46</v>
      </c>
      <c r="E25" s="7"/>
      <c r="F25" s="5" t="s">
        <v>45</v>
      </c>
      <c r="G25" s="7"/>
      <c r="H25" s="19">
        <f t="shared" si="0"/>
        <v>5.28</v>
      </c>
    </row>
    <row r="26" spans="1:8" x14ac:dyDescent="0.3">
      <c r="A26" s="10" t="s">
        <v>59</v>
      </c>
      <c r="B26" s="15" t="s">
        <v>79</v>
      </c>
      <c r="C26" s="14"/>
      <c r="D26" s="8" t="s">
        <v>46</v>
      </c>
      <c r="E26" s="7"/>
      <c r="F26" s="5" t="s">
        <v>45</v>
      </c>
      <c r="G26" s="7"/>
      <c r="H26" s="19">
        <f t="shared" si="0"/>
        <v>5.28</v>
      </c>
    </row>
    <row r="27" spans="1:8" x14ac:dyDescent="0.3">
      <c r="A27" s="10" t="s">
        <v>59</v>
      </c>
      <c r="B27" s="15" t="s">
        <v>66</v>
      </c>
      <c r="C27" s="14"/>
      <c r="D27" s="8" t="s">
        <v>46</v>
      </c>
      <c r="E27" s="7"/>
      <c r="F27" s="5" t="s">
        <v>45</v>
      </c>
      <c r="G27" s="7"/>
      <c r="H27" s="19">
        <f t="shared" si="0"/>
        <v>5.28</v>
      </c>
    </row>
    <row r="28" spans="1:8" x14ac:dyDescent="0.3">
      <c r="A28" s="10" t="s">
        <v>59</v>
      </c>
      <c r="B28" s="15" t="s">
        <v>83</v>
      </c>
      <c r="C28" s="14"/>
      <c r="D28" s="8" t="s">
        <v>46</v>
      </c>
      <c r="E28" s="7"/>
      <c r="F28" s="5" t="s">
        <v>45</v>
      </c>
      <c r="G28" s="7"/>
      <c r="H28" s="19">
        <f t="shared" si="0"/>
        <v>5.28</v>
      </c>
    </row>
    <row r="29" spans="1:8" x14ac:dyDescent="0.3">
      <c r="A29" s="10" t="s">
        <v>59</v>
      </c>
      <c r="B29" s="15" t="s">
        <v>94</v>
      </c>
      <c r="C29" s="14"/>
      <c r="D29" s="8" t="s">
        <v>46</v>
      </c>
      <c r="E29" s="7"/>
      <c r="F29" s="5" t="s">
        <v>45</v>
      </c>
      <c r="G29" s="7"/>
      <c r="H29" s="19">
        <f t="shared" si="0"/>
        <v>5.28</v>
      </c>
    </row>
    <row r="30" spans="1:8" x14ac:dyDescent="0.3">
      <c r="A30" s="10" t="s">
        <v>59</v>
      </c>
      <c r="B30" s="15" t="s">
        <v>93</v>
      </c>
      <c r="C30" s="14"/>
      <c r="D30" s="8" t="s">
        <v>46</v>
      </c>
      <c r="E30" s="7"/>
      <c r="F30" s="5" t="s">
        <v>45</v>
      </c>
      <c r="G30" s="7"/>
      <c r="H30" s="19">
        <f t="shared" si="0"/>
        <v>5.28</v>
      </c>
    </row>
    <row r="31" spans="1:8" x14ac:dyDescent="0.3">
      <c r="A31" s="10" t="s">
        <v>59</v>
      </c>
      <c r="B31" s="15" t="s">
        <v>68</v>
      </c>
      <c r="C31" s="14"/>
      <c r="D31" s="8" t="s">
        <v>46</v>
      </c>
      <c r="E31" s="7"/>
      <c r="F31" s="5" t="s">
        <v>45</v>
      </c>
      <c r="G31" s="7"/>
      <c r="H31" s="19">
        <f t="shared" si="0"/>
        <v>5.28</v>
      </c>
    </row>
    <row r="32" spans="1:8" x14ac:dyDescent="0.3">
      <c r="A32" s="10" t="s">
        <v>59</v>
      </c>
      <c r="B32" s="15" t="s">
        <v>67</v>
      </c>
      <c r="C32" s="14"/>
      <c r="D32" s="8" t="s">
        <v>46</v>
      </c>
      <c r="E32" s="7"/>
      <c r="F32" s="5" t="s">
        <v>47</v>
      </c>
      <c r="G32" s="7"/>
      <c r="H32" s="19">
        <f t="shared" si="0"/>
        <v>6</v>
      </c>
    </row>
    <row r="33" spans="1:8" x14ac:dyDescent="0.3">
      <c r="A33" s="10" t="s">
        <v>59</v>
      </c>
      <c r="B33" s="15" t="s">
        <v>63</v>
      </c>
      <c r="C33" s="14"/>
      <c r="D33" s="8" t="s">
        <v>46</v>
      </c>
      <c r="E33" s="7"/>
      <c r="F33" s="5" t="s">
        <v>45</v>
      </c>
      <c r="G33" s="7"/>
      <c r="H33" s="19">
        <f t="shared" si="0"/>
        <v>5.28</v>
      </c>
    </row>
    <row r="34" spans="1:8" x14ac:dyDescent="0.3">
      <c r="A34" s="10" t="s">
        <v>59</v>
      </c>
      <c r="B34" s="15" t="s">
        <v>86</v>
      </c>
      <c r="C34" s="14"/>
      <c r="D34" s="8" t="s">
        <v>46</v>
      </c>
      <c r="E34" s="7"/>
      <c r="F34" s="5" t="s">
        <v>47</v>
      </c>
      <c r="G34" s="7"/>
      <c r="H34" s="19">
        <f t="shared" si="0"/>
        <v>6</v>
      </c>
    </row>
    <row r="35" spans="1:8" x14ac:dyDescent="0.3">
      <c r="A35" s="10" t="s">
        <v>59</v>
      </c>
      <c r="B35" s="15" t="s">
        <v>70</v>
      </c>
      <c r="C35" s="5"/>
      <c r="D35" s="8" t="s">
        <v>46</v>
      </c>
      <c r="E35" s="7"/>
      <c r="F35" s="5" t="s">
        <v>45</v>
      </c>
      <c r="G35" s="7"/>
      <c r="H35" s="19">
        <f t="shared" si="0"/>
        <v>5.28</v>
      </c>
    </row>
    <row r="36" spans="1:8" x14ac:dyDescent="0.3">
      <c r="A36" s="10" t="s">
        <v>59</v>
      </c>
      <c r="B36" s="2" t="s">
        <v>77</v>
      </c>
      <c r="C36" s="2"/>
      <c r="D36" s="8" t="s">
        <v>48</v>
      </c>
      <c r="E36" s="2" t="s">
        <v>99</v>
      </c>
      <c r="F36" s="5" t="s">
        <v>103</v>
      </c>
      <c r="G36" s="7"/>
      <c r="H36" s="19">
        <v>0.1</v>
      </c>
    </row>
    <row r="37" spans="1:8" x14ac:dyDescent="0.3">
      <c r="A37" s="10" t="s">
        <v>59</v>
      </c>
      <c r="B37" s="16" t="s">
        <v>86</v>
      </c>
      <c r="C37" s="2"/>
      <c r="D37" s="8" t="s">
        <v>48</v>
      </c>
      <c r="E37" s="2" t="s">
        <v>100</v>
      </c>
      <c r="F37" s="5" t="s">
        <v>103</v>
      </c>
      <c r="G37" s="7"/>
      <c r="H37" s="19">
        <v>0.1</v>
      </c>
    </row>
    <row r="38" spans="1:8" x14ac:dyDescent="0.3">
      <c r="A38" s="10" t="s">
        <v>59</v>
      </c>
      <c r="B38" s="16" t="s">
        <v>65</v>
      </c>
      <c r="C38" s="2"/>
      <c r="D38" s="8" t="s">
        <v>48</v>
      </c>
      <c r="E38" s="2" t="s">
        <v>101</v>
      </c>
      <c r="F38" s="5" t="s">
        <v>103</v>
      </c>
      <c r="G38" s="7"/>
      <c r="H38" s="19">
        <v>0.1</v>
      </c>
    </row>
    <row r="39" spans="1:8" x14ac:dyDescent="0.3">
      <c r="A39" s="10" t="s">
        <v>59</v>
      </c>
      <c r="B39" s="2" t="s">
        <v>63</v>
      </c>
      <c r="C39" s="2"/>
      <c r="D39" s="8" t="s">
        <v>48</v>
      </c>
      <c r="E39" s="2" t="s">
        <v>102</v>
      </c>
      <c r="F39" s="5" t="s">
        <v>103</v>
      </c>
      <c r="G39" s="7"/>
      <c r="H39" s="19">
        <v>0.1</v>
      </c>
    </row>
    <row r="40" spans="1:8" x14ac:dyDescent="0.3">
      <c r="A40" s="10" t="s">
        <v>59</v>
      </c>
      <c r="B40" s="2" t="s">
        <v>64</v>
      </c>
      <c r="C40" s="2"/>
      <c r="D40" s="8" t="s">
        <v>48</v>
      </c>
      <c r="E40" s="2" t="s">
        <v>102</v>
      </c>
      <c r="F40" s="5" t="s">
        <v>103</v>
      </c>
      <c r="G40" s="7"/>
      <c r="H40" s="19">
        <v>0.1</v>
      </c>
    </row>
    <row r="41" spans="1:8" x14ac:dyDescent="0.3">
      <c r="A41" s="10" t="s">
        <v>59</v>
      </c>
      <c r="B41" s="10" t="s">
        <v>91</v>
      </c>
      <c r="C41" s="2"/>
      <c r="D41" s="8" t="s">
        <v>46</v>
      </c>
      <c r="E41" s="2"/>
      <c r="F41" s="5" t="s">
        <v>120</v>
      </c>
      <c r="G41" s="7"/>
      <c r="H41" s="19">
        <v>5.28</v>
      </c>
    </row>
    <row r="42" spans="1:8" x14ac:dyDescent="0.3">
      <c r="A42" s="10" t="s">
        <v>59</v>
      </c>
      <c r="B42" s="34" t="s">
        <v>154</v>
      </c>
      <c r="C42" s="2"/>
      <c r="D42" s="8" t="s">
        <v>33</v>
      </c>
      <c r="E42" s="2" t="s">
        <v>152</v>
      </c>
      <c r="F42" s="5" t="s">
        <v>103</v>
      </c>
      <c r="G42" s="7"/>
      <c r="H42" s="19">
        <v>0.25</v>
      </c>
    </row>
    <row r="43" spans="1:8" s="1" customFormat="1" x14ac:dyDescent="0.3">
      <c r="A43" s="10" t="s">
        <v>59</v>
      </c>
      <c r="B43" s="35" t="s">
        <v>64</v>
      </c>
      <c r="C43" s="16"/>
      <c r="D43" s="16" t="s">
        <v>48</v>
      </c>
      <c r="E43" s="16" t="s">
        <v>155</v>
      </c>
      <c r="F43" s="16" t="s">
        <v>153</v>
      </c>
      <c r="G43" s="16"/>
      <c r="H43" s="36">
        <v>0.1</v>
      </c>
    </row>
    <row r="44" spans="1:8" s="1" customFormat="1" x14ac:dyDescent="0.3">
      <c r="A44" s="10" t="s">
        <v>59</v>
      </c>
      <c r="B44" s="16" t="s">
        <v>131</v>
      </c>
      <c r="C44" s="16"/>
      <c r="D44" s="16" t="s">
        <v>33</v>
      </c>
      <c r="E44" s="16" t="s">
        <v>156</v>
      </c>
      <c r="F44" s="16" t="s">
        <v>153</v>
      </c>
      <c r="G44" s="16"/>
      <c r="H44" s="36">
        <v>0.25</v>
      </c>
    </row>
    <row r="45" spans="1:8" s="1" customFormat="1" x14ac:dyDescent="0.3">
      <c r="A45" s="10" t="s">
        <v>59</v>
      </c>
      <c r="B45" s="24" t="s">
        <v>160</v>
      </c>
      <c r="C45" s="16"/>
      <c r="D45" s="16" t="s">
        <v>33</v>
      </c>
      <c r="E45" s="33" t="s">
        <v>161</v>
      </c>
      <c r="F45" s="33" t="s">
        <v>162</v>
      </c>
      <c r="G45" s="16"/>
      <c r="H45" s="36">
        <v>0.375</v>
      </c>
    </row>
    <row r="46" spans="1:8" s="1" customFormat="1" x14ac:dyDescent="0.3">
      <c r="A46" s="10" t="s">
        <v>59</v>
      </c>
      <c r="B46" s="24" t="s">
        <v>172</v>
      </c>
      <c r="C46" s="16"/>
      <c r="D46" s="16" t="s">
        <v>33</v>
      </c>
      <c r="E46" s="33" t="s">
        <v>161</v>
      </c>
      <c r="F46" s="33" t="s">
        <v>129</v>
      </c>
      <c r="G46" s="16"/>
      <c r="H46" s="36">
        <v>0.375</v>
      </c>
    </row>
    <row r="47" spans="1:8" s="1" customFormat="1" x14ac:dyDescent="0.3">
      <c r="A47" s="10" t="s">
        <v>59</v>
      </c>
      <c r="B47" s="24"/>
      <c r="C47" s="16"/>
      <c r="D47" s="16" t="s">
        <v>180</v>
      </c>
      <c r="E47" s="33" t="s">
        <v>182</v>
      </c>
      <c r="F47" s="33" t="s">
        <v>120</v>
      </c>
      <c r="G47" s="16"/>
      <c r="H47" s="36">
        <v>0.5</v>
      </c>
    </row>
    <row r="48" spans="1:8" s="1" customFormat="1" x14ac:dyDescent="0.3">
      <c r="A48" s="10" t="s">
        <v>59</v>
      </c>
      <c r="B48" s="24"/>
      <c r="C48" s="16"/>
      <c r="D48" s="16" t="s">
        <v>180</v>
      </c>
      <c r="E48" s="33" t="s">
        <v>182</v>
      </c>
      <c r="F48" s="33" t="s">
        <v>120</v>
      </c>
      <c r="G48" s="16"/>
      <c r="H48" s="36">
        <v>0.5</v>
      </c>
    </row>
  </sheetData>
  <autoFilter ref="A1:I22" xr:uid="{00000000-0009-0000-0000-000003000000}"/>
  <phoneticPr fontId="7" type="noConversion"/>
  <dataValidations count="2">
    <dataValidation allowBlank="1" showInputMessage="1" showErrorMessage="1" sqref="D1" xr:uid="{00000000-0002-0000-0300-000000000000}"/>
    <dataValidation type="list" allowBlank="1" showInputMessage="1" showErrorMessage="1" sqref="F2:F35 D2:D1048576" xr:uid="{00000000-0002-0000-0300-000001000000}">
      <formula1>"基本评定分,集体评定等级分,社会责任记实分,荣誉称号加分,违纪违规扣分"</formula1>
    </dataValidation>
  </dataValidation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36"/>
  <sheetViews>
    <sheetView workbookViewId="0">
      <selection activeCell="I23" sqref="I23"/>
    </sheetView>
  </sheetViews>
  <sheetFormatPr defaultColWidth="9.19921875" defaultRowHeight="13.5" x14ac:dyDescent="0.3"/>
  <cols>
    <col min="1" max="1" width="47.796875" bestFit="1" customWidth="1"/>
    <col min="2" max="2" width="13.265625" bestFit="1" customWidth="1"/>
    <col min="3" max="3" width="6.86328125" bestFit="1" customWidth="1"/>
    <col min="4" max="4" width="12.86328125" style="21" bestFit="1" customWidth="1"/>
  </cols>
  <sheetData>
    <row r="1" spans="1:4" x14ac:dyDescent="0.3">
      <c r="A1" s="2" t="s">
        <v>0</v>
      </c>
      <c r="B1" s="2" t="s">
        <v>1</v>
      </c>
      <c r="C1" s="2" t="s">
        <v>2</v>
      </c>
      <c r="D1" s="19" t="s">
        <v>49</v>
      </c>
    </row>
    <row r="2" spans="1:4" x14ac:dyDescent="0.3">
      <c r="A2" s="2" t="s">
        <v>59</v>
      </c>
      <c r="B2" s="2" t="s">
        <v>64</v>
      </c>
      <c r="C2" s="2"/>
      <c r="D2" s="19">
        <v>3.8940000000000001</v>
      </c>
    </row>
    <row r="3" spans="1:4" x14ac:dyDescent="0.3">
      <c r="A3" s="2" t="s">
        <v>59</v>
      </c>
      <c r="B3" s="2" t="s">
        <v>61</v>
      </c>
      <c r="C3" s="2"/>
      <c r="D3" s="19">
        <v>3.8140000000000001</v>
      </c>
    </row>
    <row r="4" spans="1:4" x14ac:dyDescent="0.3">
      <c r="A4" s="2" t="s">
        <v>59</v>
      </c>
      <c r="B4" s="2" t="s">
        <v>65</v>
      </c>
      <c r="C4" s="2"/>
      <c r="D4" s="19">
        <v>3.7810000000000001</v>
      </c>
    </row>
    <row r="5" spans="1:4" x14ac:dyDescent="0.3">
      <c r="A5" s="2" t="s">
        <v>59</v>
      </c>
      <c r="B5" s="2" t="s">
        <v>71</v>
      </c>
      <c r="C5" s="2"/>
      <c r="D5" s="19">
        <v>3.6520000000000001</v>
      </c>
    </row>
    <row r="6" spans="1:4" x14ac:dyDescent="0.3">
      <c r="A6" s="2" t="s">
        <v>59</v>
      </c>
      <c r="B6" s="2" t="s">
        <v>66</v>
      </c>
      <c r="C6" s="2"/>
      <c r="D6" s="19">
        <v>3.7229999999999999</v>
      </c>
    </row>
    <row r="7" spans="1:4" x14ac:dyDescent="0.3">
      <c r="A7" s="2" t="s">
        <v>59</v>
      </c>
      <c r="B7" s="2" t="s">
        <v>63</v>
      </c>
      <c r="C7" s="2"/>
      <c r="D7" s="19">
        <v>3.5960000000000001</v>
      </c>
    </row>
    <row r="8" spans="1:4" x14ac:dyDescent="0.3">
      <c r="A8" s="2" t="s">
        <v>59</v>
      </c>
      <c r="B8" s="2" t="s">
        <v>67</v>
      </c>
      <c r="C8" s="2"/>
      <c r="D8" s="19">
        <v>3.5870000000000002</v>
      </c>
    </row>
    <row r="9" spans="1:4" x14ac:dyDescent="0.3">
      <c r="A9" s="2" t="s">
        <v>59</v>
      </c>
      <c r="B9" s="2" t="s">
        <v>73</v>
      </c>
      <c r="C9" s="2"/>
      <c r="D9" s="19">
        <v>3.577</v>
      </c>
    </row>
    <row r="10" spans="1:4" x14ac:dyDescent="0.3">
      <c r="A10" s="2" t="s">
        <v>59</v>
      </c>
      <c r="B10" s="2" t="s">
        <v>74</v>
      </c>
      <c r="C10" s="2"/>
      <c r="D10" s="19">
        <v>3.5009999999999999</v>
      </c>
    </row>
    <row r="11" spans="1:4" x14ac:dyDescent="0.3">
      <c r="A11" s="2" t="s">
        <v>59</v>
      </c>
      <c r="B11" s="2" t="s">
        <v>68</v>
      </c>
      <c r="C11" s="2"/>
      <c r="D11" s="19">
        <v>3.5049999999999999</v>
      </c>
    </row>
    <row r="12" spans="1:4" x14ac:dyDescent="0.3">
      <c r="A12" s="2" t="s">
        <v>59</v>
      </c>
      <c r="B12" s="2" t="s">
        <v>72</v>
      </c>
      <c r="C12" s="2"/>
      <c r="D12" s="19">
        <v>3.38</v>
      </c>
    </row>
    <row r="13" spans="1:4" x14ac:dyDescent="0.3">
      <c r="A13" s="2" t="s">
        <v>59</v>
      </c>
      <c r="B13" s="2" t="s">
        <v>70</v>
      </c>
      <c r="C13" s="2"/>
      <c r="D13" s="19">
        <v>3.403</v>
      </c>
    </row>
    <row r="14" spans="1:4" x14ac:dyDescent="0.3">
      <c r="A14" s="2" t="s">
        <v>59</v>
      </c>
      <c r="B14" s="2" t="s">
        <v>75</v>
      </c>
      <c r="C14" s="2"/>
      <c r="D14" s="19">
        <v>3.3279999999999998</v>
      </c>
    </row>
    <row r="15" spans="1:4" x14ac:dyDescent="0.3">
      <c r="A15" s="2" t="s">
        <v>59</v>
      </c>
      <c r="B15" s="2" t="s">
        <v>77</v>
      </c>
      <c r="C15" s="2"/>
      <c r="D15" s="19">
        <v>3.3170000000000002</v>
      </c>
    </row>
    <row r="16" spans="1:4" x14ac:dyDescent="0.3">
      <c r="A16" s="2" t="s">
        <v>59</v>
      </c>
      <c r="B16" s="2" t="s">
        <v>78</v>
      </c>
      <c r="C16" s="2"/>
      <c r="D16" s="19">
        <v>3.2250000000000001</v>
      </c>
    </row>
    <row r="17" spans="1:4" x14ac:dyDescent="0.3">
      <c r="A17" s="2" t="s">
        <v>59</v>
      </c>
      <c r="B17" s="2" t="s">
        <v>76</v>
      </c>
      <c r="C17" s="2"/>
      <c r="D17" s="19">
        <v>3.2570000000000001</v>
      </c>
    </row>
    <row r="18" spans="1:4" x14ac:dyDescent="0.3">
      <c r="A18" s="2" t="s">
        <v>59</v>
      </c>
      <c r="B18" s="2" t="s">
        <v>89</v>
      </c>
      <c r="C18" s="2"/>
      <c r="D18" s="19">
        <v>3.101</v>
      </c>
    </row>
    <row r="19" spans="1:4" x14ac:dyDescent="0.3">
      <c r="A19" s="2" t="s">
        <v>59</v>
      </c>
      <c r="B19" s="2" t="s">
        <v>81</v>
      </c>
      <c r="C19" s="2"/>
      <c r="D19" s="19">
        <v>3.0179999999999998</v>
      </c>
    </row>
    <row r="20" spans="1:4" x14ac:dyDescent="0.3">
      <c r="A20" s="2" t="s">
        <v>59</v>
      </c>
      <c r="B20" s="2" t="s">
        <v>85</v>
      </c>
      <c r="C20" s="2"/>
      <c r="D20" s="19">
        <v>3.0880000000000001</v>
      </c>
    </row>
    <row r="21" spans="1:4" x14ac:dyDescent="0.3">
      <c r="A21" s="2" t="s">
        <v>59</v>
      </c>
      <c r="B21" s="2" t="s">
        <v>86</v>
      </c>
      <c r="C21" s="2"/>
      <c r="D21" s="19">
        <v>2.9409999999999998</v>
      </c>
    </row>
    <row r="22" spans="1:4" x14ac:dyDescent="0.3">
      <c r="A22" s="2" t="s">
        <v>59</v>
      </c>
      <c r="B22" s="2" t="s">
        <v>84</v>
      </c>
      <c r="C22" s="2"/>
      <c r="D22" s="19">
        <v>2.9769999999999999</v>
      </c>
    </row>
    <row r="23" spans="1:4" x14ac:dyDescent="0.3">
      <c r="A23" s="2" t="s">
        <v>59</v>
      </c>
      <c r="B23" s="2" t="s">
        <v>79</v>
      </c>
      <c r="C23" s="2"/>
      <c r="D23" s="19">
        <v>2.9089999999999998</v>
      </c>
    </row>
    <row r="24" spans="1:4" x14ac:dyDescent="0.3">
      <c r="A24" s="2" t="s">
        <v>59</v>
      </c>
      <c r="B24" s="2" t="s">
        <v>87</v>
      </c>
      <c r="C24" s="2"/>
      <c r="D24" s="19">
        <v>2.8809999999999998</v>
      </c>
    </row>
    <row r="25" spans="1:4" x14ac:dyDescent="0.3">
      <c r="A25" s="2" t="s">
        <v>59</v>
      </c>
      <c r="B25" s="2" t="s">
        <v>83</v>
      </c>
      <c r="C25" s="2"/>
      <c r="D25" s="19">
        <v>2.9049999999999998</v>
      </c>
    </row>
    <row r="26" spans="1:4" x14ac:dyDescent="0.3">
      <c r="A26" s="2" t="s">
        <v>59</v>
      </c>
      <c r="B26" s="2" t="s">
        <v>80</v>
      </c>
      <c r="C26" s="2"/>
      <c r="D26" s="19">
        <v>2.782</v>
      </c>
    </row>
    <row r="27" spans="1:4" x14ac:dyDescent="0.3">
      <c r="A27" s="2" t="s">
        <v>59</v>
      </c>
      <c r="B27" s="2" t="s">
        <v>82</v>
      </c>
      <c r="C27" s="2"/>
      <c r="D27" s="19">
        <v>2.7389999999999999</v>
      </c>
    </row>
    <row r="28" spans="1:4" x14ac:dyDescent="0.3">
      <c r="A28" s="2" t="s">
        <v>59</v>
      </c>
      <c r="B28" s="2" t="s">
        <v>88</v>
      </c>
      <c r="C28" s="2"/>
      <c r="D28" s="19">
        <v>2.6110000000000002</v>
      </c>
    </row>
    <row r="29" spans="1:4" x14ac:dyDescent="0.3">
      <c r="A29" s="2" t="s">
        <v>59</v>
      </c>
      <c r="B29" s="2" t="s">
        <v>93</v>
      </c>
      <c r="C29" s="2"/>
      <c r="D29" s="19">
        <v>2.5230000000000001</v>
      </c>
    </row>
    <row r="30" spans="1:4" x14ac:dyDescent="0.3">
      <c r="A30" s="2" t="s">
        <v>59</v>
      </c>
      <c r="B30" s="2" t="s">
        <v>90</v>
      </c>
      <c r="C30" s="2"/>
      <c r="D30" s="19">
        <v>2.3820000000000001</v>
      </c>
    </row>
    <row r="31" spans="1:4" x14ac:dyDescent="0.3">
      <c r="A31" s="2" t="s">
        <v>59</v>
      </c>
      <c r="B31" s="2" t="s">
        <v>91</v>
      </c>
      <c r="C31" s="2"/>
      <c r="D31" s="19">
        <v>2.3239999999999998</v>
      </c>
    </row>
    <row r="32" spans="1:4" x14ac:dyDescent="0.3">
      <c r="A32" s="2" t="s">
        <v>59</v>
      </c>
      <c r="B32" s="2" t="s">
        <v>92</v>
      </c>
      <c r="C32" s="2"/>
      <c r="D32" s="19">
        <v>2.206</v>
      </c>
    </row>
    <row r="33" spans="1:4" x14ac:dyDescent="0.3">
      <c r="A33" s="2" t="s">
        <v>59</v>
      </c>
      <c r="B33" s="2" t="s">
        <v>96</v>
      </c>
      <c r="C33" s="2"/>
      <c r="D33" s="19">
        <v>2.3420000000000001</v>
      </c>
    </row>
    <row r="34" spans="1:4" x14ac:dyDescent="0.3">
      <c r="A34" s="2" t="s">
        <v>59</v>
      </c>
      <c r="B34" s="2" t="s">
        <v>97</v>
      </c>
      <c r="C34" s="2"/>
      <c r="D34" s="19">
        <v>2.2360000000000002</v>
      </c>
    </row>
    <row r="35" spans="1:4" x14ac:dyDescent="0.3">
      <c r="A35" s="2" t="s">
        <v>59</v>
      </c>
      <c r="B35" s="2" t="s">
        <v>95</v>
      </c>
      <c r="C35" s="2"/>
      <c r="D35" s="19">
        <v>1.9410000000000001</v>
      </c>
    </row>
    <row r="36" spans="1:4" x14ac:dyDescent="0.3">
      <c r="A36" s="2" t="s">
        <v>59</v>
      </c>
      <c r="B36" s="2" t="s">
        <v>94</v>
      </c>
      <c r="C36" s="2"/>
      <c r="D36" s="19">
        <v>1.613</v>
      </c>
    </row>
  </sheetData>
  <phoneticPr fontId="7" type="noConversion"/>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55"/>
  <sheetViews>
    <sheetView workbookViewId="0">
      <pane ySplit="1" topLeftCell="A140" activePane="bottomLeft" state="frozen"/>
      <selection pane="bottomLeft" activeCell="G50" sqref="G50"/>
    </sheetView>
  </sheetViews>
  <sheetFormatPr defaultColWidth="9.19921875" defaultRowHeight="13.5" x14ac:dyDescent="0.3"/>
  <cols>
    <col min="1" max="1" width="17.06640625" customWidth="1"/>
    <col min="2" max="2" width="14.1328125" customWidth="1"/>
    <col min="3" max="3" width="6" customWidth="1"/>
    <col min="4" max="4" width="17.59765625" customWidth="1"/>
    <col min="5" max="5" width="23.06640625" bestFit="1" customWidth="1"/>
    <col min="6" max="6" width="9.19921875" customWidth="1"/>
    <col min="7" max="8" width="8.1328125" customWidth="1"/>
    <col min="9" max="9" width="6" customWidth="1"/>
    <col min="10" max="10" width="8" style="21" customWidth="1"/>
    <col min="11" max="11" width="15.1328125" customWidth="1"/>
    <col min="12" max="12" width="8.6640625" style="21" customWidth="1"/>
    <col min="13" max="13" width="129.06640625" customWidth="1"/>
  </cols>
  <sheetData>
    <row r="1" spans="1:13" x14ac:dyDescent="0.3">
      <c r="A1" s="17" t="s">
        <v>0</v>
      </c>
      <c r="B1" s="17" t="s">
        <v>1</v>
      </c>
      <c r="C1" s="17" t="s">
        <v>2</v>
      </c>
      <c r="D1" s="17" t="s">
        <v>40</v>
      </c>
      <c r="E1" s="17" t="s">
        <v>41</v>
      </c>
      <c r="F1" s="17" t="s">
        <v>42</v>
      </c>
      <c r="G1" s="17" t="s">
        <v>43</v>
      </c>
      <c r="H1" s="17" t="s">
        <v>50</v>
      </c>
      <c r="I1" s="17" t="s">
        <v>51</v>
      </c>
      <c r="J1" s="20" t="s">
        <v>44</v>
      </c>
      <c r="K1" s="17" t="s">
        <v>52</v>
      </c>
      <c r="L1" s="20" t="s">
        <v>39</v>
      </c>
      <c r="M1" s="9"/>
    </row>
    <row r="2" spans="1:13" x14ac:dyDescent="0.3">
      <c r="A2" s="8" t="s">
        <v>59</v>
      </c>
      <c r="B2" s="8" t="s">
        <v>130</v>
      </c>
      <c r="C2" s="8"/>
      <c r="D2" s="17" t="s">
        <v>54</v>
      </c>
      <c r="E2" s="17" t="s">
        <v>106</v>
      </c>
      <c r="F2" s="17" t="s">
        <v>55</v>
      </c>
      <c r="G2" s="17"/>
      <c r="H2" s="17" t="s">
        <v>107</v>
      </c>
      <c r="I2" s="17" t="s">
        <v>108</v>
      </c>
      <c r="J2" s="31">
        <v>2</v>
      </c>
      <c r="K2" s="17">
        <v>0.5</v>
      </c>
      <c r="L2" s="20">
        <v>1</v>
      </c>
      <c r="M2" s="1"/>
    </row>
    <row r="3" spans="1:13" x14ac:dyDescent="0.3">
      <c r="A3" s="8" t="s">
        <v>59</v>
      </c>
      <c r="B3" s="17" t="s">
        <v>64</v>
      </c>
      <c r="C3" s="17"/>
      <c r="D3" s="17" t="s">
        <v>54</v>
      </c>
      <c r="E3" s="17" t="s">
        <v>109</v>
      </c>
      <c r="F3" s="17" t="s">
        <v>55</v>
      </c>
      <c r="G3" s="17"/>
      <c r="H3" s="17" t="s">
        <v>110</v>
      </c>
      <c r="I3" s="17"/>
      <c r="J3" s="31">
        <v>1</v>
      </c>
      <c r="K3" s="17"/>
      <c r="L3" s="20">
        <v>1</v>
      </c>
      <c r="M3" s="1"/>
    </row>
    <row r="4" spans="1:13" x14ac:dyDescent="0.3">
      <c r="A4" s="8" t="s">
        <v>59</v>
      </c>
      <c r="B4" s="18" t="s">
        <v>67</v>
      </c>
      <c r="C4" s="17"/>
      <c r="D4" s="17" t="s">
        <v>54</v>
      </c>
      <c r="E4" s="17" t="s">
        <v>106</v>
      </c>
      <c r="F4" s="17" t="s">
        <v>55</v>
      </c>
      <c r="G4" s="17"/>
      <c r="H4" s="17" t="s">
        <v>107</v>
      </c>
      <c r="I4" s="17" t="s">
        <v>108</v>
      </c>
      <c r="J4" s="31">
        <v>2</v>
      </c>
      <c r="K4" s="17">
        <v>0.5</v>
      </c>
      <c r="L4" s="20">
        <v>1</v>
      </c>
    </row>
    <row r="5" spans="1:13" x14ac:dyDescent="0.3">
      <c r="A5" s="8" t="s">
        <v>59</v>
      </c>
      <c r="B5" s="18" t="s">
        <v>67</v>
      </c>
      <c r="C5" s="17"/>
      <c r="D5" s="17" t="s">
        <v>54</v>
      </c>
      <c r="E5" s="17" t="s">
        <v>167</v>
      </c>
      <c r="F5" s="17" t="s">
        <v>55</v>
      </c>
      <c r="G5" s="17"/>
      <c r="H5" s="17" t="s">
        <v>168</v>
      </c>
      <c r="I5" s="17"/>
      <c r="J5" s="31">
        <v>1</v>
      </c>
      <c r="K5" s="17"/>
      <c r="L5" s="20">
        <v>1</v>
      </c>
    </row>
    <row r="6" spans="1:13" x14ac:dyDescent="0.3">
      <c r="A6" s="8" t="s">
        <v>59</v>
      </c>
      <c r="B6" s="18" t="s">
        <v>67</v>
      </c>
      <c r="C6" s="17"/>
      <c r="D6" s="17" t="s">
        <v>54</v>
      </c>
      <c r="E6" s="17" t="s">
        <v>169</v>
      </c>
      <c r="F6" s="17" t="s">
        <v>55</v>
      </c>
      <c r="G6" s="17"/>
      <c r="H6" s="17" t="s">
        <v>170</v>
      </c>
      <c r="I6" s="17"/>
      <c r="J6" s="31" t="s">
        <v>171</v>
      </c>
      <c r="K6" s="17">
        <v>0.5</v>
      </c>
      <c r="L6" s="20">
        <v>0.125</v>
      </c>
    </row>
    <row r="7" spans="1:13" x14ac:dyDescent="0.3">
      <c r="A7" s="8" t="s">
        <v>59</v>
      </c>
      <c r="B7" s="8" t="s">
        <v>64</v>
      </c>
      <c r="C7" s="8"/>
      <c r="D7" s="17" t="s">
        <v>54</v>
      </c>
      <c r="E7" s="17" t="s">
        <v>149</v>
      </c>
      <c r="F7" s="17" t="s">
        <v>55</v>
      </c>
      <c r="G7" s="17"/>
      <c r="H7" s="17">
        <v>2</v>
      </c>
      <c r="I7" s="17" t="s">
        <v>108</v>
      </c>
      <c r="J7" s="31">
        <v>1</v>
      </c>
      <c r="K7" s="17">
        <v>0.5</v>
      </c>
      <c r="L7" s="20">
        <v>0.5</v>
      </c>
    </row>
    <row r="8" spans="1:13" x14ac:dyDescent="0.3">
      <c r="A8" s="8" t="s">
        <v>59</v>
      </c>
      <c r="B8" s="8" t="s">
        <v>64</v>
      </c>
      <c r="C8" s="8"/>
      <c r="D8" s="17" t="s">
        <v>54</v>
      </c>
      <c r="E8" s="17" t="s">
        <v>150</v>
      </c>
      <c r="F8" s="17" t="s">
        <v>55</v>
      </c>
      <c r="G8" s="17"/>
      <c r="H8" s="17">
        <v>2</v>
      </c>
      <c r="I8" s="17" t="s">
        <v>108</v>
      </c>
      <c r="J8" s="31">
        <v>1</v>
      </c>
      <c r="K8" s="17">
        <v>0.5</v>
      </c>
      <c r="L8" s="20">
        <v>0.5</v>
      </c>
    </row>
    <row r="9" spans="1:13" x14ac:dyDescent="0.3">
      <c r="A9" s="8" t="s">
        <v>59</v>
      </c>
      <c r="B9" s="8" t="s">
        <v>89</v>
      </c>
      <c r="C9" s="8"/>
      <c r="D9" s="17" t="s">
        <v>54</v>
      </c>
      <c r="E9" s="17" t="s">
        <v>151</v>
      </c>
      <c r="F9" s="17" t="s">
        <v>55</v>
      </c>
      <c r="G9" s="17"/>
      <c r="H9" s="17">
        <v>1</v>
      </c>
      <c r="I9" s="17"/>
      <c r="J9" s="31">
        <v>2</v>
      </c>
      <c r="K9" s="17">
        <v>0.5</v>
      </c>
      <c r="L9" s="20">
        <v>1</v>
      </c>
    </row>
    <row r="10" spans="1:13" x14ac:dyDescent="0.3">
      <c r="A10" s="8" t="s">
        <v>59</v>
      </c>
      <c r="B10" s="39" t="s">
        <v>61</v>
      </c>
      <c r="C10" s="8"/>
      <c r="D10" s="17" t="s">
        <v>53</v>
      </c>
      <c r="E10" s="17" t="s">
        <v>104</v>
      </c>
      <c r="F10" s="17"/>
      <c r="G10" s="17" t="s">
        <v>119</v>
      </c>
      <c r="H10" s="17"/>
      <c r="I10" s="17"/>
      <c r="J10" s="31">
        <v>92.4</v>
      </c>
      <c r="K10" s="17"/>
      <c r="L10" s="20"/>
    </row>
    <row r="11" spans="1:13" x14ac:dyDescent="0.3">
      <c r="A11" s="8" t="s">
        <v>59</v>
      </c>
      <c r="B11" s="39" t="s">
        <v>63</v>
      </c>
      <c r="C11" s="8"/>
      <c r="D11" s="17" t="s">
        <v>53</v>
      </c>
      <c r="E11" s="17" t="s">
        <v>104</v>
      </c>
      <c r="F11" s="17"/>
      <c r="G11" s="17" t="s">
        <v>119</v>
      </c>
      <c r="H11" s="17"/>
      <c r="I11" s="17"/>
      <c r="J11" s="31">
        <v>92.8</v>
      </c>
      <c r="K11" s="17"/>
      <c r="L11" s="20"/>
    </row>
    <row r="12" spans="1:13" x14ac:dyDescent="0.3">
      <c r="A12" s="8" t="s">
        <v>59</v>
      </c>
      <c r="B12" s="39" t="s">
        <v>64</v>
      </c>
      <c r="C12" s="8"/>
      <c r="D12" s="17" t="s">
        <v>53</v>
      </c>
      <c r="E12" s="17" t="s">
        <v>104</v>
      </c>
      <c r="F12" s="17"/>
      <c r="G12" s="17" t="s">
        <v>119</v>
      </c>
      <c r="H12" s="17"/>
      <c r="I12" s="17"/>
      <c r="J12" s="31">
        <v>94</v>
      </c>
      <c r="K12" s="17"/>
      <c r="L12" s="20"/>
    </row>
    <row r="13" spans="1:13" x14ac:dyDescent="0.3">
      <c r="A13" s="8" t="s">
        <v>59</v>
      </c>
      <c r="B13" s="39" t="s">
        <v>65</v>
      </c>
      <c r="C13" s="8"/>
      <c r="D13" s="17" t="s">
        <v>53</v>
      </c>
      <c r="E13" s="17" t="s">
        <v>104</v>
      </c>
      <c r="F13" s="17"/>
      <c r="G13" s="17" t="s">
        <v>119</v>
      </c>
      <c r="H13" s="17"/>
      <c r="I13" s="17"/>
      <c r="J13" s="31">
        <v>72.599999999999994</v>
      </c>
      <c r="K13" s="17"/>
      <c r="L13" s="20"/>
    </row>
    <row r="14" spans="1:13" x14ac:dyDescent="0.3">
      <c r="A14" s="8" t="s">
        <v>59</v>
      </c>
      <c r="B14" s="39" t="s">
        <v>66</v>
      </c>
      <c r="C14" s="8"/>
      <c r="D14" s="17" t="s">
        <v>53</v>
      </c>
      <c r="E14" s="17" t="s">
        <v>104</v>
      </c>
      <c r="F14" s="17"/>
      <c r="G14" s="17" t="s">
        <v>119</v>
      </c>
      <c r="H14" s="17"/>
      <c r="I14" s="17"/>
      <c r="J14" s="31">
        <v>66.2</v>
      </c>
      <c r="K14" s="17"/>
      <c r="L14" s="20"/>
    </row>
    <row r="15" spans="1:13" x14ac:dyDescent="0.3">
      <c r="A15" s="8" t="s">
        <v>59</v>
      </c>
      <c r="B15" s="39" t="s">
        <v>67</v>
      </c>
      <c r="C15" s="8"/>
      <c r="D15" s="17" t="s">
        <v>53</v>
      </c>
      <c r="E15" s="17" t="s">
        <v>104</v>
      </c>
      <c r="F15" s="17"/>
      <c r="G15" s="17" t="s">
        <v>119</v>
      </c>
      <c r="H15" s="17"/>
      <c r="I15" s="17"/>
      <c r="J15" s="31">
        <v>90.6</v>
      </c>
      <c r="K15" s="17"/>
      <c r="L15" s="20"/>
    </row>
    <row r="16" spans="1:13" x14ac:dyDescent="0.3">
      <c r="A16" s="8" t="s">
        <v>59</v>
      </c>
      <c r="B16" s="39" t="s">
        <v>68</v>
      </c>
      <c r="C16" s="8"/>
      <c r="D16" s="17" t="s">
        <v>53</v>
      </c>
      <c r="E16" s="17" t="s">
        <v>104</v>
      </c>
      <c r="F16" s="17"/>
      <c r="G16" s="17" t="s">
        <v>119</v>
      </c>
      <c r="H16" s="17"/>
      <c r="I16" s="17"/>
      <c r="J16" s="31">
        <v>76.2</v>
      </c>
      <c r="K16" s="17"/>
      <c r="L16" s="20"/>
    </row>
    <row r="17" spans="1:12" x14ac:dyDescent="0.3">
      <c r="A17" s="8" t="s">
        <v>59</v>
      </c>
      <c r="B17" s="39" t="s">
        <v>70</v>
      </c>
      <c r="C17" s="8"/>
      <c r="D17" s="17" t="s">
        <v>53</v>
      </c>
      <c r="E17" s="17" t="s">
        <v>104</v>
      </c>
      <c r="F17" s="17"/>
      <c r="G17" s="17" t="s">
        <v>119</v>
      </c>
      <c r="H17" s="17"/>
      <c r="I17" s="17"/>
      <c r="J17" s="31">
        <v>67.400000000000006</v>
      </c>
      <c r="K17" s="17"/>
      <c r="L17" s="20"/>
    </row>
    <row r="18" spans="1:12" x14ac:dyDescent="0.3">
      <c r="A18" s="8" t="s">
        <v>59</v>
      </c>
      <c r="B18" s="39" t="s">
        <v>71</v>
      </c>
      <c r="C18" s="8"/>
      <c r="D18" s="17" t="s">
        <v>53</v>
      </c>
      <c r="E18" s="17" t="s">
        <v>104</v>
      </c>
      <c r="F18" s="17"/>
      <c r="G18" s="17" t="s">
        <v>119</v>
      </c>
      <c r="H18" s="17"/>
      <c r="I18" s="17"/>
      <c r="J18" s="31">
        <v>93</v>
      </c>
      <c r="K18" s="17"/>
      <c r="L18" s="20"/>
    </row>
    <row r="19" spans="1:12" x14ac:dyDescent="0.3">
      <c r="A19" s="8" t="s">
        <v>59</v>
      </c>
      <c r="B19" s="39" t="s">
        <v>72</v>
      </c>
      <c r="C19" s="8"/>
      <c r="D19" s="17" t="s">
        <v>53</v>
      </c>
      <c r="E19" s="17" t="s">
        <v>104</v>
      </c>
      <c r="F19" s="17"/>
      <c r="G19" s="17" t="s">
        <v>119</v>
      </c>
      <c r="H19" s="17"/>
      <c r="I19" s="17"/>
      <c r="J19" s="31">
        <v>88.6</v>
      </c>
      <c r="K19" s="17"/>
      <c r="L19" s="20"/>
    </row>
    <row r="20" spans="1:12" x14ac:dyDescent="0.3">
      <c r="A20" s="8" t="s">
        <v>59</v>
      </c>
      <c r="B20" s="39" t="s">
        <v>73</v>
      </c>
      <c r="C20" s="8"/>
      <c r="D20" s="17" t="s">
        <v>53</v>
      </c>
      <c r="E20" s="17" t="s">
        <v>104</v>
      </c>
      <c r="F20" s="17"/>
      <c r="G20" s="17" t="s">
        <v>119</v>
      </c>
      <c r="H20" s="17"/>
      <c r="I20" s="17"/>
      <c r="J20" s="31">
        <v>90.4</v>
      </c>
      <c r="K20" s="17"/>
      <c r="L20" s="20"/>
    </row>
    <row r="21" spans="1:12" x14ac:dyDescent="0.3">
      <c r="A21" s="8" t="s">
        <v>59</v>
      </c>
      <c r="B21" s="39" t="s">
        <v>74</v>
      </c>
      <c r="C21" s="8"/>
      <c r="D21" s="17" t="s">
        <v>53</v>
      </c>
      <c r="E21" s="17" t="s">
        <v>104</v>
      </c>
      <c r="F21" s="17"/>
      <c r="G21" s="17" t="s">
        <v>119</v>
      </c>
      <c r="H21" s="17"/>
      <c r="I21" s="17"/>
      <c r="J21" s="31">
        <v>91.8</v>
      </c>
      <c r="K21" s="17"/>
      <c r="L21" s="20"/>
    </row>
    <row r="22" spans="1:12" x14ac:dyDescent="0.3">
      <c r="A22" s="8" t="s">
        <v>59</v>
      </c>
      <c r="B22" s="39" t="s">
        <v>75</v>
      </c>
      <c r="C22" s="8"/>
      <c r="D22" s="17" t="s">
        <v>53</v>
      </c>
      <c r="E22" s="17" t="s">
        <v>104</v>
      </c>
      <c r="F22" s="17"/>
      <c r="G22" s="17" t="s">
        <v>119</v>
      </c>
      <c r="H22" s="17"/>
      <c r="I22" s="17"/>
      <c r="J22" s="31">
        <v>64.2</v>
      </c>
      <c r="K22" s="17"/>
      <c r="L22" s="20"/>
    </row>
    <row r="23" spans="1:12" x14ac:dyDescent="0.3">
      <c r="A23" s="8" t="s">
        <v>59</v>
      </c>
      <c r="B23" s="39" t="s">
        <v>76</v>
      </c>
      <c r="C23" s="8"/>
      <c r="D23" s="17" t="s">
        <v>53</v>
      </c>
      <c r="E23" s="17" t="s">
        <v>104</v>
      </c>
      <c r="F23" s="17"/>
      <c r="G23" s="17" t="s">
        <v>119</v>
      </c>
      <c r="H23" s="17"/>
      <c r="I23" s="17"/>
      <c r="J23" s="31">
        <v>64.2</v>
      </c>
      <c r="K23" s="17"/>
      <c r="L23" s="20"/>
    </row>
    <row r="24" spans="1:12" x14ac:dyDescent="0.3">
      <c r="A24" s="8" t="s">
        <v>59</v>
      </c>
      <c r="B24" s="39" t="s">
        <v>77</v>
      </c>
      <c r="C24" s="8"/>
      <c r="D24" s="17" t="s">
        <v>53</v>
      </c>
      <c r="E24" s="17" t="s">
        <v>104</v>
      </c>
      <c r="F24" s="17"/>
      <c r="G24" s="17" t="s">
        <v>119</v>
      </c>
      <c r="H24" s="17"/>
      <c r="I24" s="17"/>
      <c r="J24" s="31">
        <v>65</v>
      </c>
      <c r="K24" s="17"/>
      <c r="L24" s="20"/>
    </row>
    <row r="25" spans="1:12" x14ac:dyDescent="0.3">
      <c r="A25" s="8" t="s">
        <v>59</v>
      </c>
      <c r="B25" s="39" t="s">
        <v>78</v>
      </c>
      <c r="C25" s="8"/>
      <c r="D25" s="17" t="s">
        <v>53</v>
      </c>
      <c r="E25" s="17" t="s">
        <v>104</v>
      </c>
      <c r="F25" s="17"/>
      <c r="G25" s="17" t="s">
        <v>119</v>
      </c>
      <c r="H25" s="17"/>
      <c r="I25" s="17"/>
      <c r="J25" s="31">
        <v>63.4</v>
      </c>
      <c r="K25" s="17"/>
      <c r="L25" s="20"/>
    </row>
    <row r="26" spans="1:12" x14ac:dyDescent="0.3">
      <c r="A26" s="8" t="s">
        <v>59</v>
      </c>
      <c r="B26" s="39" t="s">
        <v>79</v>
      </c>
      <c r="C26" s="8"/>
      <c r="D26" s="17" t="s">
        <v>53</v>
      </c>
      <c r="E26" s="17" t="s">
        <v>104</v>
      </c>
      <c r="F26" s="17"/>
      <c r="G26" s="17" t="s">
        <v>119</v>
      </c>
      <c r="H26" s="17"/>
      <c r="I26" s="17"/>
      <c r="J26" s="31">
        <v>65.400000000000006</v>
      </c>
      <c r="K26" s="17"/>
      <c r="L26" s="20"/>
    </row>
    <row r="27" spans="1:12" x14ac:dyDescent="0.3">
      <c r="A27" s="8" t="s">
        <v>59</v>
      </c>
      <c r="B27" s="39" t="s">
        <v>80</v>
      </c>
      <c r="C27" s="8"/>
      <c r="D27" s="17" t="s">
        <v>53</v>
      </c>
      <c r="E27" s="17" t="s">
        <v>104</v>
      </c>
      <c r="F27" s="17"/>
      <c r="G27" s="17" t="s">
        <v>119</v>
      </c>
      <c r="H27" s="17"/>
      <c r="I27" s="17"/>
      <c r="J27" s="31">
        <v>84.2</v>
      </c>
      <c r="K27" s="17"/>
      <c r="L27" s="20"/>
    </row>
    <row r="28" spans="1:12" x14ac:dyDescent="0.3">
      <c r="A28" s="8" t="s">
        <v>59</v>
      </c>
      <c r="B28" s="39" t="s">
        <v>81</v>
      </c>
      <c r="C28" s="8"/>
      <c r="D28" s="17" t="s">
        <v>53</v>
      </c>
      <c r="E28" s="17" t="s">
        <v>104</v>
      </c>
      <c r="F28" s="17"/>
      <c r="G28" s="17" t="s">
        <v>119</v>
      </c>
      <c r="H28" s="17"/>
      <c r="I28" s="17"/>
      <c r="J28" s="31">
        <v>86</v>
      </c>
      <c r="K28" s="17"/>
      <c r="L28" s="20"/>
    </row>
    <row r="29" spans="1:12" x14ac:dyDescent="0.3">
      <c r="A29" s="8" t="s">
        <v>59</v>
      </c>
      <c r="B29" s="39" t="s">
        <v>82</v>
      </c>
      <c r="C29" s="8"/>
      <c r="D29" s="17" t="s">
        <v>53</v>
      </c>
      <c r="E29" s="17" t="s">
        <v>104</v>
      </c>
      <c r="F29" s="17"/>
      <c r="G29" s="17" t="s">
        <v>119</v>
      </c>
      <c r="H29" s="17"/>
      <c r="I29" s="17"/>
      <c r="J29" s="31">
        <v>67</v>
      </c>
      <c r="K29" s="17"/>
      <c r="L29" s="20"/>
    </row>
    <row r="30" spans="1:12" x14ac:dyDescent="0.3">
      <c r="A30" s="8" t="s">
        <v>59</v>
      </c>
      <c r="B30" s="39" t="s">
        <v>83</v>
      </c>
      <c r="C30" s="8"/>
      <c r="D30" s="17" t="s">
        <v>53</v>
      </c>
      <c r="E30" s="17" t="s">
        <v>104</v>
      </c>
      <c r="F30" s="17"/>
      <c r="G30" s="17" t="s">
        <v>119</v>
      </c>
      <c r="H30" s="17"/>
      <c r="I30" s="17"/>
      <c r="J30" s="31">
        <v>66</v>
      </c>
      <c r="K30" s="17"/>
      <c r="L30" s="20"/>
    </row>
    <row r="31" spans="1:12" x14ac:dyDescent="0.3">
      <c r="A31" s="8" t="s">
        <v>59</v>
      </c>
      <c r="B31" s="39" t="s">
        <v>84</v>
      </c>
      <c r="C31" s="8"/>
      <c r="D31" s="17" t="s">
        <v>53</v>
      </c>
      <c r="E31" s="17" t="s">
        <v>104</v>
      </c>
      <c r="F31" s="17"/>
      <c r="G31" s="17" t="s">
        <v>119</v>
      </c>
      <c r="H31" s="17"/>
      <c r="I31" s="17"/>
      <c r="J31" s="31">
        <v>83.8</v>
      </c>
      <c r="K31" s="17"/>
      <c r="L31" s="20"/>
    </row>
    <row r="32" spans="1:12" x14ac:dyDescent="0.3">
      <c r="A32" s="8" t="s">
        <v>59</v>
      </c>
      <c r="B32" s="39" t="s">
        <v>85</v>
      </c>
      <c r="C32" s="8"/>
      <c r="D32" s="17" t="s">
        <v>53</v>
      </c>
      <c r="E32" s="17" t="s">
        <v>104</v>
      </c>
      <c r="F32" s="17"/>
      <c r="G32" s="17" t="s">
        <v>119</v>
      </c>
      <c r="H32" s="17"/>
      <c r="I32" s="17"/>
      <c r="J32" s="31">
        <v>62.6</v>
      </c>
      <c r="K32" s="17"/>
      <c r="L32" s="20"/>
    </row>
    <row r="33" spans="1:12" x14ac:dyDescent="0.3">
      <c r="A33" s="8" t="s">
        <v>59</v>
      </c>
      <c r="B33" s="39" t="s">
        <v>86</v>
      </c>
      <c r="C33" s="8"/>
      <c r="D33" s="17" t="s">
        <v>53</v>
      </c>
      <c r="E33" s="17" t="s">
        <v>104</v>
      </c>
      <c r="F33" s="17"/>
      <c r="G33" s="17" t="s">
        <v>119</v>
      </c>
      <c r="H33" s="17"/>
      <c r="I33" s="17"/>
      <c r="J33" s="31">
        <v>86.6</v>
      </c>
      <c r="K33" s="17"/>
      <c r="L33" s="20"/>
    </row>
    <row r="34" spans="1:12" x14ac:dyDescent="0.3">
      <c r="A34" s="8" t="s">
        <v>59</v>
      </c>
      <c r="B34" s="39" t="s">
        <v>87</v>
      </c>
      <c r="C34" s="8"/>
      <c r="D34" s="17" t="s">
        <v>53</v>
      </c>
      <c r="E34" s="17" t="s">
        <v>104</v>
      </c>
      <c r="F34" s="17"/>
      <c r="G34" s="17" t="s">
        <v>119</v>
      </c>
      <c r="H34" s="17"/>
      <c r="I34" s="17"/>
      <c r="J34" s="31">
        <v>75.599999999999994</v>
      </c>
      <c r="K34" s="17"/>
      <c r="L34" s="20"/>
    </row>
    <row r="35" spans="1:12" x14ac:dyDescent="0.3">
      <c r="A35" s="8" t="s">
        <v>59</v>
      </c>
      <c r="B35" s="39" t="s">
        <v>88</v>
      </c>
      <c r="C35" s="8"/>
      <c r="D35" s="17" t="s">
        <v>53</v>
      </c>
      <c r="E35" s="17" t="s">
        <v>104</v>
      </c>
      <c r="F35" s="17"/>
      <c r="G35" s="17" t="s">
        <v>119</v>
      </c>
      <c r="H35" s="17"/>
      <c r="I35" s="17"/>
      <c r="J35" s="31">
        <v>63</v>
      </c>
      <c r="K35" s="17"/>
      <c r="L35" s="20"/>
    </row>
    <row r="36" spans="1:12" x14ac:dyDescent="0.3">
      <c r="A36" s="8" t="s">
        <v>59</v>
      </c>
      <c r="B36" s="39" t="s">
        <v>89</v>
      </c>
      <c r="C36" s="8"/>
      <c r="D36" s="17" t="s">
        <v>53</v>
      </c>
      <c r="E36" s="17" t="s">
        <v>104</v>
      </c>
      <c r="F36" s="17"/>
      <c r="G36" s="17" t="s">
        <v>119</v>
      </c>
      <c r="H36" s="17"/>
      <c r="I36" s="17"/>
      <c r="J36" s="31">
        <v>75.2</v>
      </c>
      <c r="K36" s="17"/>
      <c r="L36" s="20"/>
    </row>
    <row r="37" spans="1:12" x14ac:dyDescent="0.3">
      <c r="A37" s="8" t="s">
        <v>59</v>
      </c>
      <c r="B37" s="39" t="s">
        <v>90</v>
      </c>
      <c r="C37" s="8"/>
      <c r="D37" s="17" t="s">
        <v>53</v>
      </c>
      <c r="E37" s="17" t="s">
        <v>104</v>
      </c>
      <c r="F37" s="17"/>
      <c r="G37" s="17" t="s">
        <v>119</v>
      </c>
      <c r="H37" s="17"/>
      <c r="I37" s="17"/>
      <c r="J37" s="31">
        <v>66</v>
      </c>
      <c r="K37" s="17"/>
      <c r="L37" s="20"/>
    </row>
    <row r="38" spans="1:12" x14ac:dyDescent="0.3">
      <c r="A38" s="8" t="s">
        <v>59</v>
      </c>
      <c r="B38" s="39" t="s">
        <v>91</v>
      </c>
      <c r="C38" s="8"/>
      <c r="D38" s="17" t="s">
        <v>53</v>
      </c>
      <c r="E38" s="17" t="s">
        <v>104</v>
      </c>
      <c r="F38" s="17"/>
      <c r="G38" s="17" t="s">
        <v>119</v>
      </c>
      <c r="H38" s="17"/>
      <c r="I38" s="17"/>
      <c r="J38" s="31">
        <v>62.4</v>
      </c>
      <c r="K38" s="17"/>
      <c r="L38" s="20"/>
    </row>
    <row r="39" spans="1:12" x14ac:dyDescent="0.3">
      <c r="A39" s="8" t="s">
        <v>59</v>
      </c>
      <c r="B39" s="39" t="s">
        <v>92</v>
      </c>
      <c r="C39" s="8"/>
      <c r="D39" s="17" t="s">
        <v>53</v>
      </c>
      <c r="E39" s="17" t="s">
        <v>104</v>
      </c>
      <c r="F39" s="17"/>
      <c r="G39" s="17" t="s">
        <v>119</v>
      </c>
      <c r="H39" s="17"/>
      <c r="I39" s="17"/>
      <c r="J39" s="31">
        <v>66.8</v>
      </c>
      <c r="K39" s="17"/>
      <c r="L39" s="20"/>
    </row>
    <row r="40" spans="1:12" x14ac:dyDescent="0.3">
      <c r="A40" s="8" t="s">
        <v>59</v>
      </c>
      <c r="B40" s="39" t="s">
        <v>93</v>
      </c>
      <c r="C40" s="8"/>
      <c r="D40" s="17" t="s">
        <v>53</v>
      </c>
      <c r="E40" s="17" t="s">
        <v>104</v>
      </c>
      <c r="F40" s="17"/>
      <c r="G40" s="17" t="s">
        <v>119</v>
      </c>
      <c r="H40" s="17"/>
      <c r="I40" s="17"/>
      <c r="J40" s="31">
        <v>65.599999999999994</v>
      </c>
      <c r="K40" s="17"/>
      <c r="L40" s="20"/>
    </row>
    <row r="41" spans="1:12" x14ac:dyDescent="0.3">
      <c r="A41" s="8" t="s">
        <v>59</v>
      </c>
      <c r="B41" s="39" t="s">
        <v>94</v>
      </c>
      <c r="C41" s="8"/>
      <c r="D41" s="17" t="s">
        <v>53</v>
      </c>
      <c r="E41" s="17" t="s">
        <v>104</v>
      </c>
      <c r="F41" s="17"/>
      <c r="G41" s="17" t="s">
        <v>119</v>
      </c>
      <c r="H41" s="17"/>
      <c r="I41" s="17"/>
      <c r="J41" s="31">
        <v>91.2</v>
      </c>
      <c r="K41" s="17"/>
      <c r="L41" s="20"/>
    </row>
    <row r="42" spans="1:12" x14ac:dyDescent="0.3">
      <c r="A42" s="8" t="s">
        <v>59</v>
      </c>
      <c r="B42" s="39" t="s">
        <v>95</v>
      </c>
      <c r="C42" s="8"/>
      <c r="D42" s="17" t="s">
        <v>53</v>
      </c>
      <c r="E42" s="17" t="s">
        <v>104</v>
      </c>
      <c r="F42" s="17"/>
      <c r="G42" s="17" t="s">
        <v>119</v>
      </c>
      <c r="H42" s="17"/>
      <c r="I42" s="17"/>
      <c r="J42" s="31">
        <v>67</v>
      </c>
      <c r="K42" s="17"/>
      <c r="L42" s="20"/>
    </row>
    <row r="43" spans="1:12" x14ac:dyDescent="0.3">
      <c r="A43" s="8" t="s">
        <v>59</v>
      </c>
      <c r="B43" s="39" t="s">
        <v>96</v>
      </c>
      <c r="C43" s="8"/>
      <c r="D43" s="17" t="s">
        <v>53</v>
      </c>
      <c r="E43" s="17" t="s">
        <v>104</v>
      </c>
      <c r="F43" s="17"/>
      <c r="G43" s="17" t="s">
        <v>119</v>
      </c>
      <c r="H43" s="17"/>
      <c r="I43" s="17"/>
      <c r="J43" s="31">
        <v>66.2</v>
      </c>
      <c r="K43" s="17"/>
      <c r="L43" s="20"/>
    </row>
    <row r="44" spans="1:12" x14ac:dyDescent="0.3">
      <c r="A44" s="8" t="s">
        <v>59</v>
      </c>
      <c r="B44" s="39" t="s">
        <v>97</v>
      </c>
      <c r="C44" s="8"/>
      <c r="D44" s="17" t="s">
        <v>53</v>
      </c>
      <c r="E44" s="17" t="s">
        <v>104</v>
      </c>
      <c r="F44" s="17"/>
      <c r="G44" s="17" t="s">
        <v>119</v>
      </c>
      <c r="H44" s="17"/>
      <c r="I44" s="17"/>
      <c r="J44" s="31">
        <v>66</v>
      </c>
      <c r="K44" s="17"/>
      <c r="L44" s="20"/>
    </row>
    <row r="45" spans="1:12" x14ac:dyDescent="0.3">
      <c r="A45" s="8" t="s">
        <v>59</v>
      </c>
      <c r="B45" s="39" t="s">
        <v>61</v>
      </c>
      <c r="C45" s="8"/>
      <c r="D45" s="17" t="s">
        <v>53</v>
      </c>
      <c r="E45" s="17" t="s">
        <v>104</v>
      </c>
      <c r="F45" s="17"/>
      <c r="G45" s="17" t="s">
        <v>105</v>
      </c>
      <c r="H45" s="17"/>
      <c r="I45" s="17"/>
      <c r="J45" s="31">
        <v>85</v>
      </c>
      <c r="K45" s="17"/>
      <c r="L45" s="20"/>
    </row>
    <row r="46" spans="1:12" x14ac:dyDescent="0.3">
      <c r="A46" s="8" t="s">
        <v>59</v>
      </c>
      <c r="B46" s="39" t="s">
        <v>63</v>
      </c>
      <c r="C46" s="8"/>
      <c r="D46" s="17" t="s">
        <v>53</v>
      </c>
      <c r="E46" s="17" t="s">
        <v>104</v>
      </c>
      <c r="F46" s="17"/>
      <c r="G46" s="17" t="s">
        <v>105</v>
      </c>
      <c r="H46" s="17"/>
      <c r="I46" s="17"/>
      <c r="J46" s="31">
        <v>85</v>
      </c>
      <c r="K46" s="17"/>
      <c r="L46" s="20"/>
    </row>
    <row r="47" spans="1:12" x14ac:dyDescent="0.3">
      <c r="A47" s="8" t="s">
        <v>59</v>
      </c>
      <c r="B47" s="39" t="s">
        <v>64</v>
      </c>
      <c r="C47" s="8"/>
      <c r="D47" s="17" t="s">
        <v>53</v>
      </c>
      <c r="E47" s="17" t="s">
        <v>104</v>
      </c>
      <c r="F47" s="17"/>
      <c r="G47" s="17" t="s">
        <v>105</v>
      </c>
      <c r="H47" s="17"/>
      <c r="I47" s="17"/>
      <c r="J47" s="31">
        <v>95</v>
      </c>
      <c r="K47" s="17"/>
      <c r="L47" s="20"/>
    </row>
    <row r="48" spans="1:12" x14ac:dyDescent="0.3">
      <c r="A48" s="8" t="s">
        <v>59</v>
      </c>
      <c r="B48" s="39" t="s">
        <v>65</v>
      </c>
      <c r="C48" s="8"/>
      <c r="D48" s="17" t="s">
        <v>53</v>
      </c>
      <c r="E48" s="17" t="s">
        <v>104</v>
      </c>
      <c r="F48" s="17"/>
      <c r="G48" s="17" t="s">
        <v>105</v>
      </c>
      <c r="H48" s="17"/>
      <c r="I48" s="17"/>
      <c r="J48" s="31">
        <v>65</v>
      </c>
      <c r="K48" s="17"/>
      <c r="L48" s="20"/>
    </row>
    <row r="49" spans="1:12" x14ac:dyDescent="0.3">
      <c r="A49" s="8" t="s">
        <v>59</v>
      </c>
      <c r="B49" s="39" t="s">
        <v>66</v>
      </c>
      <c r="C49" s="8"/>
      <c r="D49" s="17" t="s">
        <v>53</v>
      </c>
      <c r="E49" s="17" t="s">
        <v>104</v>
      </c>
      <c r="F49" s="17"/>
      <c r="G49" s="17" t="s">
        <v>105</v>
      </c>
      <c r="H49" s="17"/>
      <c r="I49" s="17"/>
      <c r="J49" s="31">
        <v>75</v>
      </c>
      <c r="K49" s="17"/>
      <c r="L49" s="20"/>
    </row>
    <row r="50" spans="1:12" x14ac:dyDescent="0.3">
      <c r="A50" s="8" t="s">
        <v>59</v>
      </c>
      <c r="B50" s="39" t="s">
        <v>67</v>
      </c>
      <c r="C50" s="8"/>
      <c r="D50" s="17" t="s">
        <v>53</v>
      </c>
      <c r="E50" s="17" t="s">
        <v>104</v>
      </c>
      <c r="F50" s="17"/>
      <c r="G50" s="17" t="s">
        <v>105</v>
      </c>
      <c r="H50" s="17"/>
      <c r="I50" s="17"/>
      <c r="J50" s="31">
        <v>85</v>
      </c>
      <c r="K50" s="17"/>
      <c r="L50" s="20"/>
    </row>
    <row r="51" spans="1:12" x14ac:dyDescent="0.3">
      <c r="A51" s="8" t="s">
        <v>59</v>
      </c>
      <c r="B51" s="39" t="s">
        <v>68</v>
      </c>
      <c r="C51" s="8"/>
      <c r="D51" s="17" t="s">
        <v>53</v>
      </c>
      <c r="E51" s="17" t="s">
        <v>104</v>
      </c>
      <c r="F51" s="17"/>
      <c r="G51" s="17" t="s">
        <v>105</v>
      </c>
      <c r="H51" s="17"/>
      <c r="I51" s="17"/>
      <c r="J51" s="31">
        <v>85</v>
      </c>
      <c r="K51" s="17"/>
      <c r="L51" s="20"/>
    </row>
    <row r="52" spans="1:12" x14ac:dyDescent="0.3">
      <c r="A52" s="8" t="s">
        <v>59</v>
      </c>
      <c r="B52" s="39" t="s">
        <v>70</v>
      </c>
      <c r="C52" s="8"/>
      <c r="D52" s="17" t="s">
        <v>53</v>
      </c>
      <c r="E52" s="17" t="s">
        <v>104</v>
      </c>
      <c r="F52" s="17"/>
      <c r="G52" s="17" t="s">
        <v>105</v>
      </c>
      <c r="H52" s="17"/>
      <c r="I52" s="17"/>
      <c r="J52" s="31">
        <v>75</v>
      </c>
      <c r="K52" s="17"/>
      <c r="L52" s="20"/>
    </row>
    <row r="53" spans="1:12" x14ac:dyDescent="0.3">
      <c r="A53" s="8" t="s">
        <v>59</v>
      </c>
      <c r="B53" s="39" t="s">
        <v>71</v>
      </c>
      <c r="C53" s="8"/>
      <c r="D53" s="17" t="s">
        <v>53</v>
      </c>
      <c r="E53" s="17" t="s">
        <v>104</v>
      </c>
      <c r="F53" s="17"/>
      <c r="G53" s="17" t="s">
        <v>105</v>
      </c>
      <c r="H53" s="17"/>
      <c r="I53" s="17"/>
      <c r="J53" s="31">
        <v>75</v>
      </c>
      <c r="K53" s="17"/>
      <c r="L53" s="20"/>
    </row>
    <row r="54" spans="1:12" x14ac:dyDescent="0.3">
      <c r="A54" s="8" t="s">
        <v>59</v>
      </c>
      <c r="B54" s="39" t="s">
        <v>72</v>
      </c>
      <c r="C54" s="8"/>
      <c r="D54" s="17" t="s">
        <v>53</v>
      </c>
      <c r="E54" s="17" t="s">
        <v>104</v>
      </c>
      <c r="F54" s="17"/>
      <c r="G54" s="17" t="s">
        <v>105</v>
      </c>
      <c r="H54" s="17"/>
      <c r="I54" s="17"/>
      <c r="J54" s="31">
        <v>65</v>
      </c>
      <c r="K54" s="17"/>
      <c r="L54" s="20"/>
    </row>
    <row r="55" spans="1:12" x14ac:dyDescent="0.3">
      <c r="A55" s="8" t="s">
        <v>59</v>
      </c>
      <c r="B55" s="39" t="s">
        <v>73</v>
      </c>
      <c r="C55" s="8"/>
      <c r="D55" s="17" t="s">
        <v>53</v>
      </c>
      <c r="E55" s="17" t="s">
        <v>104</v>
      </c>
      <c r="F55" s="17"/>
      <c r="G55" s="17" t="s">
        <v>105</v>
      </c>
      <c r="H55" s="17"/>
      <c r="I55" s="17"/>
      <c r="J55" s="31">
        <v>75</v>
      </c>
      <c r="K55" s="17"/>
      <c r="L55" s="20"/>
    </row>
    <row r="56" spans="1:12" x14ac:dyDescent="0.3">
      <c r="A56" s="8" t="s">
        <v>59</v>
      </c>
      <c r="B56" s="39" t="s">
        <v>74</v>
      </c>
      <c r="C56" s="8"/>
      <c r="D56" s="17" t="s">
        <v>53</v>
      </c>
      <c r="E56" s="17" t="s">
        <v>104</v>
      </c>
      <c r="F56" s="17"/>
      <c r="G56" s="17" t="s">
        <v>105</v>
      </c>
      <c r="H56" s="17"/>
      <c r="I56" s="17"/>
      <c r="J56" s="31">
        <v>85</v>
      </c>
      <c r="K56" s="17"/>
      <c r="L56" s="20"/>
    </row>
    <row r="57" spans="1:12" x14ac:dyDescent="0.3">
      <c r="A57" s="8" t="s">
        <v>59</v>
      </c>
      <c r="B57" s="39" t="s">
        <v>75</v>
      </c>
      <c r="C57" s="8"/>
      <c r="D57" s="17" t="s">
        <v>53</v>
      </c>
      <c r="E57" s="17" t="s">
        <v>104</v>
      </c>
      <c r="F57" s="17"/>
      <c r="G57" s="17" t="s">
        <v>105</v>
      </c>
      <c r="H57" s="17"/>
      <c r="I57" s="17"/>
      <c r="J57" s="31">
        <v>65</v>
      </c>
      <c r="K57" s="17"/>
      <c r="L57" s="20"/>
    </row>
    <row r="58" spans="1:12" x14ac:dyDescent="0.3">
      <c r="A58" s="8" t="s">
        <v>59</v>
      </c>
      <c r="B58" s="39" t="s">
        <v>76</v>
      </c>
      <c r="C58" s="8"/>
      <c r="D58" s="17" t="s">
        <v>53</v>
      </c>
      <c r="E58" s="17" t="s">
        <v>104</v>
      </c>
      <c r="F58" s="17"/>
      <c r="G58" s="17" t="s">
        <v>105</v>
      </c>
      <c r="H58" s="17"/>
      <c r="I58" s="17"/>
      <c r="J58" s="31">
        <v>65</v>
      </c>
      <c r="K58" s="17"/>
      <c r="L58" s="20"/>
    </row>
    <row r="59" spans="1:12" x14ac:dyDescent="0.3">
      <c r="A59" s="8" t="s">
        <v>59</v>
      </c>
      <c r="B59" s="39" t="s">
        <v>77</v>
      </c>
      <c r="C59" s="8"/>
      <c r="D59" s="17" t="s">
        <v>53</v>
      </c>
      <c r="E59" s="17" t="s">
        <v>104</v>
      </c>
      <c r="F59" s="17"/>
      <c r="G59" s="17" t="s">
        <v>105</v>
      </c>
      <c r="H59" s="17"/>
      <c r="I59" s="17"/>
      <c r="J59" s="31">
        <v>65</v>
      </c>
      <c r="K59" s="17"/>
      <c r="L59" s="20"/>
    </row>
    <row r="60" spans="1:12" x14ac:dyDescent="0.3">
      <c r="A60" s="8" t="s">
        <v>59</v>
      </c>
      <c r="B60" s="39" t="s">
        <v>78</v>
      </c>
      <c r="C60" s="8"/>
      <c r="D60" s="17" t="s">
        <v>53</v>
      </c>
      <c r="E60" s="17" t="s">
        <v>104</v>
      </c>
      <c r="F60" s="17"/>
      <c r="G60" s="17" t="s">
        <v>105</v>
      </c>
      <c r="H60" s="17"/>
      <c r="I60" s="17"/>
      <c r="J60" s="31">
        <v>65</v>
      </c>
      <c r="K60" s="17"/>
      <c r="L60" s="20"/>
    </row>
    <row r="61" spans="1:12" x14ac:dyDescent="0.3">
      <c r="A61" s="8" t="s">
        <v>59</v>
      </c>
      <c r="B61" s="39" t="s">
        <v>79</v>
      </c>
      <c r="C61" s="8"/>
      <c r="D61" s="17" t="s">
        <v>53</v>
      </c>
      <c r="E61" s="17" t="s">
        <v>104</v>
      </c>
      <c r="F61" s="17"/>
      <c r="G61" s="17" t="s">
        <v>105</v>
      </c>
      <c r="H61" s="17"/>
      <c r="I61" s="17"/>
      <c r="J61" s="31">
        <v>65</v>
      </c>
      <c r="K61" s="17"/>
      <c r="L61" s="20"/>
    </row>
    <row r="62" spans="1:12" x14ac:dyDescent="0.3">
      <c r="A62" s="8" t="s">
        <v>59</v>
      </c>
      <c r="B62" s="39" t="s">
        <v>80</v>
      </c>
      <c r="C62" s="8"/>
      <c r="D62" s="17" t="s">
        <v>53</v>
      </c>
      <c r="E62" s="17" t="s">
        <v>104</v>
      </c>
      <c r="F62" s="17"/>
      <c r="G62" s="17" t="s">
        <v>105</v>
      </c>
      <c r="H62" s="17"/>
      <c r="I62" s="17"/>
      <c r="J62" s="31">
        <v>75</v>
      </c>
      <c r="K62" s="17"/>
      <c r="L62" s="20"/>
    </row>
    <row r="63" spans="1:12" x14ac:dyDescent="0.3">
      <c r="A63" s="8" t="s">
        <v>59</v>
      </c>
      <c r="B63" s="39" t="s">
        <v>81</v>
      </c>
      <c r="C63" s="8"/>
      <c r="D63" s="17" t="s">
        <v>53</v>
      </c>
      <c r="E63" s="17" t="s">
        <v>104</v>
      </c>
      <c r="F63" s="17"/>
      <c r="G63" s="17" t="s">
        <v>105</v>
      </c>
      <c r="H63" s="17"/>
      <c r="I63" s="17"/>
      <c r="J63" s="31">
        <v>65</v>
      </c>
      <c r="K63" s="17"/>
      <c r="L63" s="20"/>
    </row>
    <row r="64" spans="1:12" x14ac:dyDescent="0.3">
      <c r="A64" s="8" t="s">
        <v>59</v>
      </c>
      <c r="B64" s="39" t="s">
        <v>82</v>
      </c>
      <c r="C64" s="8"/>
      <c r="D64" s="17" t="s">
        <v>53</v>
      </c>
      <c r="E64" s="17" t="s">
        <v>104</v>
      </c>
      <c r="F64" s="17"/>
      <c r="G64" s="17" t="s">
        <v>105</v>
      </c>
      <c r="H64" s="17"/>
      <c r="I64" s="17"/>
      <c r="J64" s="31">
        <v>75</v>
      </c>
      <c r="K64" s="17"/>
      <c r="L64" s="20"/>
    </row>
    <row r="65" spans="1:12" x14ac:dyDescent="0.3">
      <c r="A65" s="8" t="s">
        <v>59</v>
      </c>
      <c r="B65" s="39" t="s">
        <v>83</v>
      </c>
      <c r="C65" s="8"/>
      <c r="D65" s="17" t="s">
        <v>53</v>
      </c>
      <c r="E65" s="17" t="s">
        <v>104</v>
      </c>
      <c r="F65" s="17"/>
      <c r="G65" s="17" t="s">
        <v>105</v>
      </c>
      <c r="H65" s="17"/>
      <c r="I65" s="17"/>
      <c r="J65" s="31">
        <v>75</v>
      </c>
      <c r="K65" s="17"/>
      <c r="L65" s="20"/>
    </row>
    <row r="66" spans="1:12" x14ac:dyDescent="0.3">
      <c r="A66" s="8" t="s">
        <v>59</v>
      </c>
      <c r="B66" s="39" t="s">
        <v>84</v>
      </c>
      <c r="C66" s="8"/>
      <c r="D66" s="17" t="s">
        <v>53</v>
      </c>
      <c r="E66" s="17" t="s">
        <v>104</v>
      </c>
      <c r="F66" s="17"/>
      <c r="G66" s="17" t="s">
        <v>105</v>
      </c>
      <c r="H66" s="17"/>
      <c r="I66" s="17"/>
      <c r="J66" s="31">
        <v>65</v>
      </c>
      <c r="K66" s="17"/>
      <c r="L66" s="20"/>
    </row>
    <row r="67" spans="1:12" x14ac:dyDescent="0.3">
      <c r="A67" s="8" t="s">
        <v>59</v>
      </c>
      <c r="B67" s="39" t="s">
        <v>85</v>
      </c>
      <c r="C67" s="8"/>
      <c r="D67" s="17" t="s">
        <v>53</v>
      </c>
      <c r="E67" s="17" t="s">
        <v>104</v>
      </c>
      <c r="F67" s="17"/>
      <c r="G67" s="17" t="s">
        <v>105</v>
      </c>
      <c r="H67" s="17"/>
      <c r="I67" s="17"/>
      <c r="J67" s="31">
        <v>65</v>
      </c>
      <c r="K67" s="17"/>
      <c r="L67" s="20"/>
    </row>
    <row r="68" spans="1:12" x14ac:dyDescent="0.3">
      <c r="A68" s="8" t="s">
        <v>59</v>
      </c>
      <c r="B68" s="39" t="s">
        <v>86</v>
      </c>
      <c r="C68" s="8"/>
      <c r="D68" s="17" t="s">
        <v>53</v>
      </c>
      <c r="E68" s="17" t="s">
        <v>104</v>
      </c>
      <c r="F68" s="17"/>
      <c r="G68" s="17" t="s">
        <v>105</v>
      </c>
      <c r="H68" s="17"/>
      <c r="I68" s="17"/>
      <c r="J68" s="31">
        <v>95</v>
      </c>
      <c r="K68" s="17"/>
      <c r="L68" s="20"/>
    </row>
    <row r="69" spans="1:12" x14ac:dyDescent="0.3">
      <c r="A69" s="8" t="s">
        <v>59</v>
      </c>
      <c r="B69" s="39" t="s">
        <v>87</v>
      </c>
      <c r="C69" s="8"/>
      <c r="D69" s="17" t="s">
        <v>53</v>
      </c>
      <c r="E69" s="17" t="s">
        <v>104</v>
      </c>
      <c r="F69" s="17"/>
      <c r="G69" s="17" t="s">
        <v>105</v>
      </c>
      <c r="H69" s="17"/>
      <c r="I69" s="17"/>
      <c r="J69" s="31">
        <v>85</v>
      </c>
      <c r="K69" s="17"/>
      <c r="L69" s="20"/>
    </row>
    <row r="70" spans="1:12" x14ac:dyDescent="0.3">
      <c r="A70" s="8" t="s">
        <v>59</v>
      </c>
      <c r="B70" s="39" t="s">
        <v>88</v>
      </c>
      <c r="C70" s="8"/>
      <c r="D70" s="17" t="s">
        <v>53</v>
      </c>
      <c r="E70" s="17" t="s">
        <v>104</v>
      </c>
      <c r="F70" s="17"/>
      <c r="G70" s="17" t="s">
        <v>105</v>
      </c>
      <c r="H70" s="17"/>
      <c r="I70" s="17"/>
      <c r="J70" s="31">
        <v>65</v>
      </c>
      <c r="K70" s="17"/>
      <c r="L70" s="20"/>
    </row>
    <row r="71" spans="1:12" x14ac:dyDescent="0.3">
      <c r="A71" s="8" t="s">
        <v>59</v>
      </c>
      <c r="B71" s="39" t="s">
        <v>89</v>
      </c>
      <c r="C71" s="8"/>
      <c r="D71" s="17" t="s">
        <v>53</v>
      </c>
      <c r="E71" s="17" t="s">
        <v>104</v>
      </c>
      <c r="F71" s="17"/>
      <c r="G71" s="17" t="s">
        <v>105</v>
      </c>
      <c r="H71" s="17"/>
      <c r="I71" s="17"/>
      <c r="J71" s="31">
        <v>75</v>
      </c>
      <c r="K71" s="17"/>
      <c r="L71" s="20"/>
    </row>
    <row r="72" spans="1:12" x14ac:dyDescent="0.3">
      <c r="A72" s="8" t="s">
        <v>59</v>
      </c>
      <c r="B72" s="39" t="s">
        <v>90</v>
      </c>
      <c r="C72" s="8"/>
      <c r="D72" s="17" t="s">
        <v>53</v>
      </c>
      <c r="E72" s="17" t="s">
        <v>104</v>
      </c>
      <c r="F72" s="17"/>
      <c r="G72" s="17" t="s">
        <v>105</v>
      </c>
      <c r="H72" s="17"/>
      <c r="I72" s="17"/>
      <c r="J72" s="31">
        <v>65</v>
      </c>
      <c r="K72" s="17"/>
      <c r="L72" s="20"/>
    </row>
    <row r="73" spans="1:12" x14ac:dyDescent="0.3">
      <c r="A73" s="8" t="s">
        <v>59</v>
      </c>
      <c r="B73" s="39" t="s">
        <v>91</v>
      </c>
      <c r="C73" s="8"/>
      <c r="D73" s="17" t="s">
        <v>53</v>
      </c>
      <c r="E73" s="17" t="s">
        <v>104</v>
      </c>
      <c r="F73" s="17"/>
      <c r="G73" s="17" t="s">
        <v>105</v>
      </c>
      <c r="H73" s="17"/>
      <c r="I73" s="17"/>
      <c r="J73" s="31">
        <v>32.5</v>
      </c>
      <c r="K73" s="17"/>
      <c r="L73" s="20"/>
    </row>
    <row r="74" spans="1:12" x14ac:dyDescent="0.3">
      <c r="A74" s="8" t="s">
        <v>59</v>
      </c>
      <c r="B74" s="39" t="s">
        <v>92</v>
      </c>
      <c r="C74" s="8"/>
      <c r="D74" s="17" t="s">
        <v>53</v>
      </c>
      <c r="E74" s="17" t="s">
        <v>104</v>
      </c>
      <c r="F74" s="17"/>
      <c r="G74" s="17" t="s">
        <v>105</v>
      </c>
      <c r="H74" s="17"/>
      <c r="I74" s="17"/>
      <c r="J74" s="31">
        <v>75</v>
      </c>
      <c r="K74" s="17"/>
      <c r="L74" s="20"/>
    </row>
    <row r="75" spans="1:12" x14ac:dyDescent="0.3">
      <c r="A75" s="8" t="s">
        <v>59</v>
      </c>
      <c r="B75" s="39" t="s">
        <v>183</v>
      </c>
      <c r="C75" s="8"/>
      <c r="D75" s="17" t="s">
        <v>53</v>
      </c>
      <c r="E75" s="17" t="s">
        <v>104</v>
      </c>
      <c r="F75" s="17"/>
      <c r="G75" s="17" t="s">
        <v>105</v>
      </c>
      <c r="H75" s="17"/>
      <c r="I75" s="17"/>
      <c r="J75" s="31">
        <v>75</v>
      </c>
      <c r="K75" s="17"/>
      <c r="L75" s="20"/>
    </row>
    <row r="76" spans="1:12" x14ac:dyDescent="0.3">
      <c r="A76" s="8" t="s">
        <v>59</v>
      </c>
      <c r="B76" s="39" t="s">
        <v>94</v>
      </c>
      <c r="C76" s="8"/>
      <c r="D76" s="17" t="s">
        <v>53</v>
      </c>
      <c r="E76" s="17" t="s">
        <v>104</v>
      </c>
      <c r="F76" s="17"/>
      <c r="G76" s="17" t="s">
        <v>105</v>
      </c>
      <c r="H76" s="17"/>
      <c r="I76" s="17"/>
      <c r="J76" s="31">
        <v>75</v>
      </c>
      <c r="K76" s="17"/>
      <c r="L76" s="20"/>
    </row>
    <row r="77" spans="1:12" x14ac:dyDescent="0.3">
      <c r="A77" s="8" t="s">
        <v>59</v>
      </c>
      <c r="B77" s="39" t="s">
        <v>95</v>
      </c>
      <c r="C77" s="8"/>
      <c r="D77" s="17" t="s">
        <v>53</v>
      </c>
      <c r="E77" s="17" t="s">
        <v>104</v>
      </c>
      <c r="F77" s="17"/>
      <c r="G77" s="17" t="s">
        <v>105</v>
      </c>
      <c r="H77" s="17"/>
      <c r="I77" s="17"/>
      <c r="J77" s="31">
        <v>65</v>
      </c>
      <c r="K77" s="17"/>
      <c r="L77" s="20"/>
    </row>
    <row r="78" spans="1:12" x14ac:dyDescent="0.3">
      <c r="A78" s="8" t="s">
        <v>59</v>
      </c>
      <c r="B78" s="39" t="s">
        <v>96</v>
      </c>
      <c r="C78" s="8"/>
      <c r="D78" s="17" t="s">
        <v>53</v>
      </c>
      <c r="E78" s="17" t="s">
        <v>104</v>
      </c>
      <c r="F78" s="17"/>
      <c r="G78" s="17" t="s">
        <v>105</v>
      </c>
      <c r="H78" s="17"/>
      <c r="I78" s="17"/>
      <c r="J78" s="31">
        <v>75</v>
      </c>
      <c r="K78" s="17"/>
      <c r="L78" s="20"/>
    </row>
    <row r="79" spans="1:12" x14ac:dyDescent="0.3">
      <c r="A79" s="8" t="s">
        <v>59</v>
      </c>
      <c r="B79" s="39" t="s">
        <v>97</v>
      </c>
      <c r="C79" s="8"/>
      <c r="D79" s="17" t="s">
        <v>53</v>
      </c>
      <c r="E79" s="17" t="s">
        <v>104</v>
      </c>
      <c r="F79" s="17"/>
      <c r="G79" s="17" t="s">
        <v>105</v>
      </c>
      <c r="H79" s="17"/>
      <c r="I79" s="17"/>
      <c r="J79" s="31">
        <v>65</v>
      </c>
      <c r="K79" s="17"/>
      <c r="L79" s="20"/>
    </row>
    <row r="80" spans="1:12" x14ac:dyDescent="0.3">
      <c r="A80" s="8" t="s">
        <v>174</v>
      </c>
      <c r="B80" s="8" t="s">
        <v>95</v>
      </c>
      <c r="C80" s="8"/>
      <c r="D80" s="17" t="s">
        <v>175</v>
      </c>
      <c r="E80" s="17" t="s">
        <v>176</v>
      </c>
      <c r="F80" s="17"/>
      <c r="G80" s="17" t="s">
        <v>119</v>
      </c>
      <c r="H80" s="17"/>
      <c r="I80" s="17"/>
      <c r="J80" s="31">
        <v>0</v>
      </c>
      <c r="K80" s="17"/>
      <c r="L80" s="19">
        <f t="shared" ref="L80:L143" si="0">IF(J80&lt;60,0,IF(J80&gt;=100,0.5,(J80*0.05-2)/8))</f>
        <v>0</v>
      </c>
    </row>
    <row r="81" spans="1:12" x14ac:dyDescent="0.3">
      <c r="A81" s="8" t="s">
        <v>174</v>
      </c>
      <c r="B81" s="8" t="s">
        <v>92</v>
      </c>
      <c r="C81" s="8"/>
      <c r="D81" s="17" t="s">
        <v>175</v>
      </c>
      <c r="E81" s="17" t="s">
        <v>176</v>
      </c>
      <c r="F81" s="17"/>
      <c r="G81" s="17" t="s">
        <v>119</v>
      </c>
      <c r="H81" s="17"/>
      <c r="I81" s="17"/>
      <c r="J81" s="31">
        <v>60.27</v>
      </c>
      <c r="K81" s="17"/>
      <c r="L81" s="19">
        <f t="shared" si="0"/>
        <v>0.12668750000000006</v>
      </c>
    </row>
    <row r="82" spans="1:12" x14ac:dyDescent="0.3">
      <c r="A82" s="8" t="s">
        <v>174</v>
      </c>
      <c r="B82" s="8" t="s">
        <v>74</v>
      </c>
      <c r="C82" s="8"/>
      <c r="D82" s="17" t="s">
        <v>175</v>
      </c>
      <c r="E82" s="17" t="s">
        <v>176</v>
      </c>
      <c r="F82" s="17"/>
      <c r="G82" s="17" t="s">
        <v>119</v>
      </c>
      <c r="H82" s="17"/>
      <c r="I82" s="17"/>
      <c r="J82" s="31">
        <v>100</v>
      </c>
      <c r="K82" s="17"/>
      <c r="L82" s="19">
        <f t="shared" si="0"/>
        <v>0.5</v>
      </c>
    </row>
    <row r="83" spans="1:12" x14ac:dyDescent="0.3">
      <c r="A83" s="8" t="s">
        <v>174</v>
      </c>
      <c r="B83" s="8" t="s">
        <v>97</v>
      </c>
      <c r="C83" s="8"/>
      <c r="D83" s="17" t="s">
        <v>175</v>
      </c>
      <c r="E83" s="17" t="s">
        <v>176</v>
      </c>
      <c r="F83" s="17"/>
      <c r="G83" s="17" t="s">
        <v>119</v>
      </c>
      <c r="H83" s="17"/>
      <c r="I83" s="17"/>
      <c r="J83" s="31">
        <v>60</v>
      </c>
      <c r="K83" s="17"/>
      <c r="L83" s="19">
        <f t="shared" si="0"/>
        <v>0.125</v>
      </c>
    </row>
    <row r="84" spans="1:12" x14ac:dyDescent="0.3">
      <c r="A84" s="8" t="s">
        <v>174</v>
      </c>
      <c r="B84" s="8" t="s">
        <v>73</v>
      </c>
      <c r="C84" s="8"/>
      <c r="D84" s="17" t="s">
        <v>175</v>
      </c>
      <c r="E84" s="17" t="s">
        <v>176</v>
      </c>
      <c r="F84" s="17"/>
      <c r="G84" s="17" t="s">
        <v>119</v>
      </c>
      <c r="H84" s="17"/>
      <c r="I84" s="17"/>
      <c r="J84" s="31">
        <v>93.16</v>
      </c>
      <c r="K84" s="17"/>
      <c r="L84" s="19">
        <f t="shared" si="0"/>
        <v>0.33225000000000005</v>
      </c>
    </row>
    <row r="85" spans="1:12" x14ac:dyDescent="0.3">
      <c r="A85" s="8" t="s">
        <v>174</v>
      </c>
      <c r="B85" s="8" t="s">
        <v>82</v>
      </c>
      <c r="C85" s="8"/>
      <c r="D85" s="17" t="s">
        <v>175</v>
      </c>
      <c r="E85" s="17" t="s">
        <v>176</v>
      </c>
      <c r="F85" s="17"/>
      <c r="G85" s="17" t="s">
        <v>119</v>
      </c>
      <c r="H85" s="17"/>
      <c r="I85" s="17"/>
      <c r="J85" s="31">
        <v>66.709999999999994</v>
      </c>
      <c r="K85" s="17"/>
      <c r="L85" s="19">
        <f t="shared" si="0"/>
        <v>0.16693749999999996</v>
      </c>
    </row>
    <row r="86" spans="1:12" x14ac:dyDescent="0.3">
      <c r="A86" s="8" t="s">
        <v>174</v>
      </c>
      <c r="B86" s="8" t="s">
        <v>71</v>
      </c>
      <c r="C86" s="8"/>
      <c r="D86" s="17" t="s">
        <v>175</v>
      </c>
      <c r="E86" s="17" t="s">
        <v>176</v>
      </c>
      <c r="F86" s="17"/>
      <c r="G86" s="17" t="s">
        <v>119</v>
      </c>
      <c r="H86" s="17"/>
      <c r="I86" s="17"/>
      <c r="J86" s="31">
        <v>90.558333333333323</v>
      </c>
      <c r="K86" s="17"/>
      <c r="L86" s="19">
        <f t="shared" si="0"/>
        <v>0.31598958333333327</v>
      </c>
    </row>
    <row r="87" spans="1:12" x14ac:dyDescent="0.3">
      <c r="A87" s="8" t="s">
        <v>174</v>
      </c>
      <c r="B87" s="8" t="s">
        <v>72</v>
      </c>
      <c r="C87" s="8"/>
      <c r="D87" s="17" t="s">
        <v>175</v>
      </c>
      <c r="E87" s="17" t="s">
        <v>176</v>
      </c>
      <c r="F87" s="17"/>
      <c r="G87" s="17" t="s">
        <v>119</v>
      </c>
      <c r="H87" s="17"/>
      <c r="I87" s="17"/>
      <c r="J87" s="31">
        <v>91.666666666666657</v>
      </c>
      <c r="K87" s="17"/>
      <c r="L87" s="19">
        <f t="shared" si="0"/>
        <v>0.32291666666666663</v>
      </c>
    </row>
    <row r="88" spans="1:12" x14ac:dyDescent="0.3">
      <c r="A88" s="8" t="s">
        <v>174</v>
      </c>
      <c r="B88" s="8" t="s">
        <v>80</v>
      </c>
      <c r="C88" s="8"/>
      <c r="D88" s="17" t="s">
        <v>175</v>
      </c>
      <c r="E88" s="17" t="s">
        <v>176</v>
      </c>
      <c r="F88" s="17"/>
      <c r="G88" s="17" t="s">
        <v>119</v>
      </c>
      <c r="H88" s="17"/>
      <c r="I88" s="17"/>
      <c r="J88" s="31">
        <v>82.75</v>
      </c>
      <c r="K88" s="17"/>
      <c r="L88" s="19">
        <f t="shared" si="0"/>
        <v>0.26718750000000002</v>
      </c>
    </row>
    <row r="89" spans="1:12" x14ac:dyDescent="0.3">
      <c r="A89" s="8" t="s">
        <v>174</v>
      </c>
      <c r="B89" s="8" t="s">
        <v>87</v>
      </c>
      <c r="C89" s="8"/>
      <c r="D89" s="17" t="s">
        <v>175</v>
      </c>
      <c r="E89" s="17" t="s">
        <v>176</v>
      </c>
      <c r="F89" s="17"/>
      <c r="G89" s="17" t="s">
        <v>119</v>
      </c>
      <c r="H89" s="17"/>
      <c r="I89" s="17"/>
      <c r="J89" s="31">
        <v>77.125</v>
      </c>
      <c r="K89" s="17"/>
      <c r="L89" s="19">
        <f t="shared" si="0"/>
        <v>0.23203125000000002</v>
      </c>
    </row>
    <row r="90" spans="1:12" x14ac:dyDescent="0.3">
      <c r="A90" s="8" t="s">
        <v>174</v>
      </c>
      <c r="B90" s="8" t="s">
        <v>76</v>
      </c>
      <c r="C90" s="8"/>
      <c r="D90" s="17" t="s">
        <v>175</v>
      </c>
      <c r="E90" s="17" t="s">
        <v>176</v>
      </c>
      <c r="F90" s="17"/>
      <c r="G90" s="17" t="s">
        <v>119</v>
      </c>
      <c r="H90" s="17"/>
      <c r="I90" s="17"/>
      <c r="J90" s="31">
        <v>65.48333333333332</v>
      </c>
      <c r="K90" s="17"/>
      <c r="L90" s="19">
        <f t="shared" si="0"/>
        <v>0.15927083333333325</v>
      </c>
    </row>
    <row r="91" spans="1:12" x14ac:dyDescent="0.3">
      <c r="A91" s="8" t="s">
        <v>174</v>
      </c>
      <c r="B91" s="8" t="s">
        <v>75</v>
      </c>
      <c r="C91" s="8"/>
      <c r="D91" s="17" t="s">
        <v>175</v>
      </c>
      <c r="E91" s="17" t="s">
        <v>176</v>
      </c>
      <c r="F91" s="17"/>
      <c r="G91" s="17" t="s">
        <v>119</v>
      </c>
      <c r="H91" s="17"/>
      <c r="I91" s="17"/>
      <c r="J91" s="31">
        <v>60</v>
      </c>
      <c r="K91" s="17"/>
      <c r="L91" s="19">
        <f t="shared" si="0"/>
        <v>0.125</v>
      </c>
    </row>
    <row r="92" spans="1:12" x14ac:dyDescent="0.3">
      <c r="A92" s="8" t="s">
        <v>174</v>
      </c>
      <c r="B92" s="8" t="s">
        <v>61</v>
      </c>
      <c r="C92" s="8"/>
      <c r="D92" s="17" t="s">
        <v>175</v>
      </c>
      <c r="E92" s="17" t="s">
        <v>176</v>
      </c>
      <c r="F92" s="17"/>
      <c r="G92" s="17" t="s">
        <v>119</v>
      </c>
      <c r="H92" s="17"/>
      <c r="I92" s="17"/>
      <c r="J92" s="31">
        <v>100</v>
      </c>
      <c r="K92" s="17"/>
      <c r="L92" s="19">
        <f t="shared" si="0"/>
        <v>0.5</v>
      </c>
    </row>
    <row r="93" spans="1:12" x14ac:dyDescent="0.3">
      <c r="A93" s="8" t="s">
        <v>174</v>
      </c>
      <c r="B93" s="8" t="s">
        <v>65</v>
      </c>
      <c r="C93" s="8"/>
      <c r="D93" s="17" t="s">
        <v>175</v>
      </c>
      <c r="E93" s="17" t="s">
        <v>176</v>
      </c>
      <c r="F93" s="17"/>
      <c r="G93" s="17" t="s">
        <v>119</v>
      </c>
      <c r="H93" s="17"/>
      <c r="I93" s="17"/>
      <c r="J93" s="31">
        <v>70.016666666666666</v>
      </c>
      <c r="K93" s="17"/>
      <c r="L93" s="19">
        <f t="shared" si="0"/>
        <v>0.18760416666666668</v>
      </c>
    </row>
    <row r="94" spans="1:12" x14ac:dyDescent="0.3">
      <c r="A94" s="8" t="s">
        <v>174</v>
      </c>
      <c r="B94" s="8" t="s">
        <v>90</v>
      </c>
      <c r="C94" s="8"/>
      <c r="D94" s="17" t="s">
        <v>175</v>
      </c>
      <c r="E94" s="17" t="s">
        <v>176</v>
      </c>
      <c r="F94" s="17"/>
      <c r="G94" s="17" t="s">
        <v>119</v>
      </c>
      <c r="H94" s="17"/>
      <c r="I94" s="17"/>
      <c r="J94" s="31">
        <v>60.589999999999996</v>
      </c>
      <c r="K94" s="17"/>
      <c r="L94" s="19">
        <f t="shared" si="0"/>
        <v>0.12868750000000001</v>
      </c>
    </row>
    <row r="95" spans="1:12" x14ac:dyDescent="0.3">
      <c r="A95" s="8" t="s">
        <v>174</v>
      </c>
      <c r="B95" s="8" t="s">
        <v>85</v>
      </c>
      <c r="C95" s="8"/>
      <c r="D95" s="17" t="s">
        <v>175</v>
      </c>
      <c r="E95" s="17" t="s">
        <v>176</v>
      </c>
      <c r="F95" s="17"/>
      <c r="G95" s="17" t="s">
        <v>119</v>
      </c>
      <c r="H95" s="17"/>
      <c r="I95" s="17"/>
      <c r="J95" s="31">
        <v>66.141666666666666</v>
      </c>
      <c r="K95" s="17"/>
      <c r="L95" s="19">
        <f t="shared" si="0"/>
        <v>0.16338541666666667</v>
      </c>
    </row>
    <row r="96" spans="1:12" x14ac:dyDescent="0.3">
      <c r="A96" s="8" t="s">
        <v>174</v>
      </c>
      <c r="B96" s="8" t="s">
        <v>81</v>
      </c>
      <c r="C96" s="8"/>
      <c r="D96" s="17" t="s">
        <v>175</v>
      </c>
      <c r="E96" s="17" t="s">
        <v>176</v>
      </c>
      <c r="F96" s="17"/>
      <c r="G96" s="17" t="s">
        <v>119</v>
      </c>
      <c r="H96" s="17"/>
      <c r="I96" s="17"/>
      <c r="J96" s="31">
        <v>100</v>
      </c>
      <c r="K96" s="17"/>
      <c r="L96" s="19">
        <f t="shared" si="0"/>
        <v>0.5</v>
      </c>
    </row>
    <row r="97" spans="1:12" x14ac:dyDescent="0.3">
      <c r="A97" s="8" t="s">
        <v>174</v>
      </c>
      <c r="B97" s="8" t="s">
        <v>77</v>
      </c>
      <c r="C97" s="8"/>
      <c r="D97" s="17" t="s">
        <v>175</v>
      </c>
      <c r="E97" s="17" t="s">
        <v>176</v>
      </c>
      <c r="F97" s="17"/>
      <c r="G97" s="17" t="s">
        <v>119</v>
      </c>
      <c r="H97" s="17"/>
      <c r="I97" s="17"/>
      <c r="J97" s="31">
        <v>61.666666666666671</v>
      </c>
      <c r="K97" s="17"/>
      <c r="L97" s="19">
        <f t="shared" si="0"/>
        <v>0.13541666666666674</v>
      </c>
    </row>
    <row r="98" spans="1:12" x14ac:dyDescent="0.3">
      <c r="A98" s="8" t="s">
        <v>174</v>
      </c>
      <c r="B98" s="8" t="s">
        <v>96</v>
      </c>
      <c r="C98" s="8"/>
      <c r="D98" s="17" t="s">
        <v>175</v>
      </c>
      <c r="E98" s="17" t="s">
        <v>176</v>
      </c>
      <c r="F98" s="17"/>
      <c r="G98" s="17" t="s">
        <v>119</v>
      </c>
      <c r="H98" s="17"/>
      <c r="I98" s="17"/>
      <c r="J98" s="31">
        <v>61.908333333333346</v>
      </c>
      <c r="K98" s="17"/>
      <c r="L98" s="19">
        <f t="shared" si="0"/>
        <v>0.13692708333333342</v>
      </c>
    </row>
    <row r="99" spans="1:12" x14ac:dyDescent="0.3">
      <c r="A99" s="8" t="s">
        <v>174</v>
      </c>
      <c r="B99" s="8" t="s">
        <v>88</v>
      </c>
      <c r="C99" s="8"/>
      <c r="D99" s="17" t="s">
        <v>175</v>
      </c>
      <c r="E99" s="17" t="s">
        <v>176</v>
      </c>
      <c r="F99" s="17"/>
      <c r="G99" s="17" t="s">
        <v>119</v>
      </c>
      <c r="H99" s="17"/>
      <c r="I99" s="17"/>
      <c r="J99" s="31">
        <v>21</v>
      </c>
      <c r="K99" s="17"/>
      <c r="L99" s="19">
        <f t="shared" si="0"/>
        <v>0</v>
      </c>
    </row>
    <row r="100" spans="1:12" x14ac:dyDescent="0.3">
      <c r="A100" s="8" t="s">
        <v>174</v>
      </c>
      <c r="B100" s="8" t="s">
        <v>89</v>
      </c>
      <c r="C100" s="8"/>
      <c r="D100" s="17" t="s">
        <v>175</v>
      </c>
      <c r="E100" s="17" t="s">
        <v>176</v>
      </c>
      <c r="F100" s="17"/>
      <c r="G100" s="17" t="s">
        <v>119</v>
      </c>
      <c r="H100" s="17"/>
      <c r="I100" s="17"/>
      <c r="J100" s="31">
        <v>70.599999999999994</v>
      </c>
      <c r="K100" s="17"/>
      <c r="L100" s="19">
        <f t="shared" si="0"/>
        <v>0.19124999999999998</v>
      </c>
    </row>
    <row r="101" spans="1:12" x14ac:dyDescent="0.3">
      <c r="A101" s="8" t="s">
        <v>174</v>
      </c>
      <c r="B101" s="8" t="s">
        <v>64</v>
      </c>
      <c r="C101" s="8"/>
      <c r="D101" s="17" t="s">
        <v>175</v>
      </c>
      <c r="E101" s="17" t="s">
        <v>176</v>
      </c>
      <c r="F101" s="17"/>
      <c r="G101" s="17" t="s">
        <v>119</v>
      </c>
      <c r="H101" s="17"/>
      <c r="I101" s="17"/>
      <c r="J101" s="31">
        <v>100</v>
      </c>
      <c r="K101" s="17"/>
      <c r="L101" s="19">
        <f t="shared" si="0"/>
        <v>0.5</v>
      </c>
    </row>
    <row r="102" spans="1:12" x14ac:dyDescent="0.3">
      <c r="A102" s="8" t="s">
        <v>174</v>
      </c>
      <c r="B102" s="8" t="s">
        <v>78</v>
      </c>
      <c r="C102" s="8"/>
      <c r="D102" s="17" t="s">
        <v>175</v>
      </c>
      <c r="E102" s="17" t="s">
        <v>176</v>
      </c>
      <c r="F102" s="17"/>
      <c r="G102" s="17" t="s">
        <v>119</v>
      </c>
      <c r="H102" s="17"/>
      <c r="I102" s="17"/>
      <c r="J102" s="31">
        <v>61.75833333333334</v>
      </c>
      <c r="K102" s="17"/>
      <c r="L102" s="19">
        <f t="shared" si="0"/>
        <v>0.13598958333333339</v>
      </c>
    </row>
    <row r="103" spans="1:12" x14ac:dyDescent="0.3">
      <c r="A103" s="8" t="s">
        <v>174</v>
      </c>
      <c r="B103" s="8" t="s">
        <v>84</v>
      </c>
      <c r="C103" s="8"/>
      <c r="D103" s="17" t="s">
        <v>175</v>
      </c>
      <c r="E103" s="17" t="s">
        <v>176</v>
      </c>
      <c r="F103" s="17"/>
      <c r="G103" s="17" t="s">
        <v>119</v>
      </c>
      <c r="H103" s="17"/>
      <c r="I103" s="17"/>
      <c r="J103" s="31">
        <v>80.575000000000003</v>
      </c>
      <c r="K103" s="17"/>
      <c r="L103" s="19">
        <f t="shared" si="0"/>
        <v>0.25359375000000006</v>
      </c>
    </row>
    <row r="104" spans="1:12" x14ac:dyDescent="0.3">
      <c r="A104" s="8" t="s">
        <v>174</v>
      </c>
      <c r="B104" s="8" t="s">
        <v>79</v>
      </c>
      <c r="C104" s="8"/>
      <c r="D104" s="17" t="s">
        <v>175</v>
      </c>
      <c r="E104" s="17" t="s">
        <v>176</v>
      </c>
      <c r="F104" s="17"/>
      <c r="G104" s="17" t="s">
        <v>119</v>
      </c>
      <c r="H104" s="17"/>
      <c r="I104" s="17"/>
      <c r="J104" s="31">
        <v>60.241666666666674</v>
      </c>
      <c r="K104" s="17"/>
      <c r="L104" s="19">
        <f t="shared" si="0"/>
        <v>0.12651041666666674</v>
      </c>
    </row>
    <row r="105" spans="1:12" x14ac:dyDescent="0.3">
      <c r="A105" s="8" t="s">
        <v>174</v>
      </c>
      <c r="B105" s="8" t="s">
        <v>66</v>
      </c>
      <c r="C105" s="8"/>
      <c r="D105" s="17" t="s">
        <v>175</v>
      </c>
      <c r="E105" s="17" t="s">
        <v>176</v>
      </c>
      <c r="F105" s="17"/>
      <c r="G105" s="17" t="s">
        <v>119</v>
      </c>
      <c r="H105" s="17"/>
      <c r="I105" s="17"/>
      <c r="J105" s="31">
        <v>68.180000000000007</v>
      </c>
      <c r="K105" s="17"/>
      <c r="L105" s="19">
        <f t="shared" si="0"/>
        <v>0.17612500000000009</v>
      </c>
    </row>
    <row r="106" spans="1:12" x14ac:dyDescent="0.3">
      <c r="A106" s="8" t="s">
        <v>174</v>
      </c>
      <c r="B106" s="8" t="s">
        <v>83</v>
      </c>
      <c r="C106" s="8"/>
      <c r="D106" s="17" t="s">
        <v>175</v>
      </c>
      <c r="E106" s="17" t="s">
        <v>176</v>
      </c>
      <c r="F106" s="17"/>
      <c r="G106" s="17" t="s">
        <v>119</v>
      </c>
      <c r="H106" s="17"/>
      <c r="I106" s="17"/>
      <c r="J106" s="31">
        <v>60.033333333333339</v>
      </c>
      <c r="K106" s="17"/>
      <c r="L106" s="19">
        <f t="shared" si="0"/>
        <v>0.12520833333333337</v>
      </c>
    </row>
    <row r="107" spans="1:12" x14ac:dyDescent="0.3">
      <c r="A107" s="8" t="s">
        <v>174</v>
      </c>
      <c r="B107" s="8" t="s">
        <v>94</v>
      </c>
      <c r="C107" s="8"/>
      <c r="D107" s="17" t="s">
        <v>175</v>
      </c>
      <c r="E107" s="17" t="s">
        <v>176</v>
      </c>
      <c r="F107" s="17"/>
      <c r="G107" s="17" t="s">
        <v>119</v>
      </c>
      <c r="H107" s="17"/>
      <c r="I107" s="17"/>
      <c r="J107" s="31">
        <v>100</v>
      </c>
      <c r="K107" s="17"/>
      <c r="L107" s="19">
        <f t="shared" si="0"/>
        <v>0.5</v>
      </c>
    </row>
    <row r="108" spans="1:12" x14ac:dyDescent="0.3">
      <c r="A108" s="8" t="s">
        <v>174</v>
      </c>
      <c r="B108" s="8" t="s">
        <v>93</v>
      </c>
      <c r="C108" s="8"/>
      <c r="D108" s="17" t="s">
        <v>175</v>
      </c>
      <c r="E108" s="17" t="s">
        <v>176</v>
      </c>
      <c r="F108" s="17"/>
      <c r="G108" s="17" t="s">
        <v>119</v>
      </c>
      <c r="H108" s="17"/>
      <c r="I108" s="17"/>
      <c r="J108" s="31">
        <v>60.758333333333326</v>
      </c>
      <c r="K108" s="17"/>
      <c r="L108" s="19">
        <f t="shared" si="0"/>
        <v>0.1297395833333333</v>
      </c>
    </row>
    <row r="109" spans="1:12" x14ac:dyDescent="0.3">
      <c r="A109" s="8" t="s">
        <v>174</v>
      </c>
      <c r="B109" s="8" t="s">
        <v>68</v>
      </c>
      <c r="C109" s="8"/>
      <c r="D109" s="17" t="s">
        <v>175</v>
      </c>
      <c r="E109" s="17" t="s">
        <v>176</v>
      </c>
      <c r="F109" s="17"/>
      <c r="G109" s="17" t="s">
        <v>119</v>
      </c>
      <c r="H109" s="17"/>
      <c r="I109" s="17"/>
      <c r="J109" s="31">
        <v>72.11</v>
      </c>
      <c r="K109" s="17"/>
      <c r="L109" s="19">
        <f t="shared" si="0"/>
        <v>0.20068750000000002</v>
      </c>
    </row>
    <row r="110" spans="1:12" x14ac:dyDescent="0.3">
      <c r="A110" s="8" t="s">
        <v>174</v>
      </c>
      <c r="B110" s="8" t="s">
        <v>67</v>
      </c>
      <c r="C110" s="8"/>
      <c r="D110" s="17" t="s">
        <v>175</v>
      </c>
      <c r="E110" s="17" t="s">
        <v>176</v>
      </c>
      <c r="F110" s="17"/>
      <c r="G110" s="17" t="s">
        <v>119</v>
      </c>
      <c r="H110" s="17"/>
      <c r="I110" s="17"/>
      <c r="J110" s="31">
        <v>100</v>
      </c>
      <c r="K110" s="17"/>
      <c r="L110" s="19">
        <f t="shared" si="0"/>
        <v>0.5</v>
      </c>
    </row>
    <row r="111" spans="1:12" x14ac:dyDescent="0.3">
      <c r="A111" s="8" t="s">
        <v>174</v>
      </c>
      <c r="B111" s="8" t="s">
        <v>63</v>
      </c>
      <c r="C111" s="8"/>
      <c r="D111" s="17" t="s">
        <v>175</v>
      </c>
      <c r="E111" s="17" t="s">
        <v>176</v>
      </c>
      <c r="F111" s="17"/>
      <c r="G111" s="17" t="s">
        <v>119</v>
      </c>
      <c r="H111" s="17"/>
      <c r="I111" s="17"/>
      <c r="J111" s="31">
        <v>100</v>
      </c>
      <c r="K111" s="17"/>
      <c r="L111" s="19">
        <f t="shared" si="0"/>
        <v>0.5</v>
      </c>
    </row>
    <row r="112" spans="1:12" x14ac:dyDescent="0.3">
      <c r="A112" s="8" t="s">
        <v>174</v>
      </c>
      <c r="B112" s="8" t="s">
        <v>86</v>
      </c>
      <c r="C112" s="8"/>
      <c r="D112" s="17" t="s">
        <v>175</v>
      </c>
      <c r="E112" s="17" t="s">
        <v>176</v>
      </c>
      <c r="F112" s="17"/>
      <c r="G112" s="17" t="s">
        <v>119</v>
      </c>
      <c r="H112" s="17"/>
      <c r="I112" s="17"/>
      <c r="J112" s="31">
        <v>80.658333333333346</v>
      </c>
      <c r="K112" s="17"/>
      <c r="L112" s="19">
        <f t="shared" si="0"/>
        <v>0.25411458333333348</v>
      </c>
    </row>
    <row r="113" spans="1:12" x14ac:dyDescent="0.3">
      <c r="A113" s="8" t="s">
        <v>174</v>
      </c>
      <c r="B113" s="8" t="s">
        <v>70</v>
      </c>
      <c r="C113" s="8"/>
      <c r="D113" s="17" t="s">
        <v>175</v>
      </c>
      <c r="E113" s="17" t="s">
        <v>176</v>
      </c>
      <c r="F113" s="17"/>
      <c r="G113" s="17" t="s">
        <v>119</v>
      </c>
      <c r="H113" s="17"/>
      <c r="I113" s="17"/>
      <c r="J113" s="31">
        <v>60.13</v>
      </c>
      <c r="K113" s="17"/>
      <c r="L113" s="19">
        <f t="shared" si="0"/>
        <v>0.12581250000000005</v>
      </c>
    </row>
    <row r="114" spans="1:12" x14ac:dyDescent="0.3">
      <c r="A114" s="8" t="s">
        <v>174</v>
      </c>
      <c r="B114" s="8" t="s">
        <v>60</v>
      </c>
      <c r="C114" s="8"/>
      <c r="D114" s="17" t="s">
        <v>175</v>
      </c>
      <c r="E114" s="17" t="s">
        <v>176</v>
      </c>
      <c r="F114" s="17"/>
      <c r="G114" s="17" t="s">
        <v>119</v>
      </c>
      <c r="H114" s="17"/>
      <c r="I114" s="17"/>
      <c r="J114" s="31">
        <v>100</v>
      </c>
      <c r="K114" s="17"/>
      <c r="L114" s="19">
        <f t="shared" si="0"/>
        <v>0.5</v>
      </c>
    </row>
    <row r="115" spans="1:12" x14ac:dyDescent="0.3">
      <c r="A115" s="8" t="s">
        <v>174</v>
      </c>
      <c r="B115" s="8" t="s">
        <v>62</v>
      </c>
      <c r="C115" s="8"/>
      <c r="D115" s="17" t="s">
        <v>175</v>
      </c>
      <c r="E115" s="17" t="s">
        <v>176</v>
      </c>
      <c r="F115" s="17"/>
      <c r="G115" s="17" t="s">
        <v>119</v>
      </c>
      <c r="H115" s="17"/>
      <c r="I115" s="17"/>
      <c r="J115" s="31">
        <v>100</v>
      </c>
      <c r="K115" s="17"/>
      <c r="L115" s="19">
        <f t="shared" si="0"/>
        <v>0.5</v>
      </c>
    </row>
    <row r="116" spans="1:12" x14ac:dyDescent="0.3">
      <c r="A116" s="8" t="s">
        <v>174</v>
      </c>
      <c r="B116" s="8" t="s">
        <v>91</v>
      </c>
      <c r="C116" s="8"/>
      <c r="D116" s="17" t="s">
        <v>175</v>
      </c>
      <c r="E116" s="17" t="s">
        <v>176</v>
      </c>
      <c r="F116" s="17"/>
      <c r="G116" s="17" t="s">
        <v>119</v>
      </c>
      <c r="H116" s="17"/>
      <c r="I116" s="17"/>
      <c r="J116" s="31">
        <v>60.075000000000003</v>
      </c>
      <c r="K116" s="17"/>
      <c r="L116" s="19">
        <f t="shared" si="0"/>
        <v>0.12546875000000002</v>
      </c>
    </row>
    <row r="117" spans="1:12" x14ac:dyDescent="0.3">
      <c r="A117" s="8" t="s">
        <v>174</v>
      </c>
      <c r="B117" s="8" t="s">
        <v>69</v>
      </c>
      <c r="C117" s="8"/>
      <c r="D117" s="17" t="s">
        <v>175</v>
      </c>
      <c r="E117" s="17" t="s">
        <v>176</v>
      </c>
      <c r="F117" s="17"/>
      <c r="G117" s="17" t="s">
        <v>119</v>
      </c>
      <c r="H117" s="17"/>
      <c r="I117" s="17"/>
      <c r="J117" s="31">
        <v>0</v>
      </c>
      <c r="K117" s="17"/>
      <c r="L117" s="19">
        <f t="shared" si="0"/>
        <v>0</v>
      </c>
    </row>
    <row r="118" spans="1:12" x14ac:dyDescent="0.3">
      <c r="A118" s="8" t="s">
        <v>174</v>
      </c>
      <c r="B118" s="8" t="s">
        <v>95</v>
      </c>
      <c r="C118" s="8"/>
      <c r="D118" s="17" t="s">
        <v>175</v>
      </c>
      <c r="E118" s="17" t="s">
        <v>176</v>
      </c>
      <c r="F118" s="17"/>
      <c r="G118" s="17" t="s">
        <v>105</v>
      </c>
      <c r="H118" s="17"/>
      <c r="I118" s="17"/>
      <c r="J118" s="31">
        <v>60</v>
      </c>
      <c r="K118" s="17"/>
      <c r="L118" s="19">
        <f t="shared" si="0"/>
        <v>0.125</v>
      </c>
    </row>
    <row r="119" spans="1:12" x14ac:dyDescent="0.3">
      <c r="A119" s="8" t="s">
        <v>174</v>
      </c>
      <c r="B119" s="8" t="s">
        <v>92</v>
      </c>
      <c r="C119" s="8"/>
      <c r="D119" s="17" t="s">
        <v>175</v>
      </c>
      <c r="E119" s="17" t="s">
        <v>176</v>
      </c>
      <c r="F119" s="17"/>
      <c r="G119" s="17" t="s">
        <v>105</v>
      </c>
      <c r="H119" s="17"/>
      <c r="I119" s="17"/>
      <c r="J119" s="31">
        <v>100</v>
      </c>
      <c r="K119" s="17"/>
      <c r="L119" s="19">
        <f t="shared" si="0"/>
        <v>0.5</v>
      </c>
    </row>
    <row r="120" spans="1:12" x14ac:dyDescent="0.3">
      <c r="A120" s="8" t="s">
        <v>174</v>
      </c>
      <c r="B120" s="8" t="s">
        <v>74</v>
      </c>
      <c r="C120" s="8"/>
      <c r="D120" s="17" t="s">
        <v>175</v>
      </c>
      <c r="E120" s="17" t="s">
        <v>176</v>
      </c>
      <c r="F120" s="17"/>
      <c r="G120" s="17" t="s">
        <v>105</v>
      </c>
      <c r="H120" s="17"/>
      <c r="I120" s="17"/>
      <c r="J120" s="31">
        <v>100</v>
      </c>
      <c r="K120" s="17"/>
      <c r="L120" s="19">
        <f t="shared" si="0"/>
        <v>0.5</v>
      </c>
    </row>
    <row r="121" spans="1:12" x14ac:dyDescent="0.3">
      <c r="A121" s="8" t="s">
        <v>174</v>
      </c>
      <c r="B121" s="8" t="s">
        <v>97</v>
      </c>
      <c r="C121" s="8"/>
      <c r="D121" s="17" t="s">
        <v>175</v>
      </c>
      <c r="E121" s="17" t="s">
        <v>176</v>
      </c>
      <c r="F121" s="17"/>
      <c r="G121" s="17" t="s">
        <v>105</v>
      </c>
      <c r="H121" s="17"/>
      <c r="I121" s="17"/>
      <c r="J121" s="31">
        <v>100</v>
      </c>
      <c r="K121" s="17"/>
      <c r="L121" s="19">
        <f t="shared" si="0"/>
        <v>0.5</v>
      </c>
    </row>
    <row r="122" spans="1:12" x14ac:dyDescent="0.3">
      <c r="A122" s="8" t="s">
        <v>174</v>
      </c>
      <c r="B122" s="8" t="s">
        <v>73</v>
      </c>
      <c r="C122" s="8"/>
      <c r="D122" s="17" t="s">
        <v>175</v>
      </c>
      <c r="E122" s="17" t="s">
        <v>176</v>
      </c>
      <c r="F122" s="17"/>
      <c r="G122" s="17" t="s">
        <v>105</v>
      </c>
      <c r="H122" s="17"/>
      <c r="I122" s="17"/>
      <c r="J122" s="31">
        <v>100</v>
      </c>
      <c r="K122" s="17"/>
      <c r="L122" s="19">
        <f t="shared" si="0"/>
        <v>0.5</v>
      </c>
    </row>
    <row r="123" spans="1:12" x14ac:dyDescent="0.3">
      <c r="A123" s="8" t="s">
        <v>174</v>
      </c>
      <c r="B123" s="8" t="s">
        <v>82</v>
      </c>
      <c r="C123" s="8"/>
      <c r="D123" s="17" t="s">
        <v>175</v>
      </c>
      <c r="E123" s="17" t="s">
        <v>176</v>
      </c>
      <c r="F123" s="17"/>
      <c r="G123" s="17" t="s">
        <v>105</v>
      </c>
      <c r="H123" s="17"/>
      <c r="I123" s="17"/>
      <c r="J123" s="31">
        <v>100</v>
      </c>
      <c r="K123" s="17"/>
      <c r="L123" s="19">
        <f t="shared" si="0"/>
        <v>0.5</v>
      </c>
    </row>
    <row r="124" spans="1:12" x14ac:dyDescent="0.3">
      <c r="A124" s="8" t="s">
        <v>174</v>
      </c>
      <c r="B124" s="8" t="s">
        <v>71</v>
      </c>
      <c r="C124" s="8"/>
      <c r="D124" s="17" t="s">
        <v>175</v>
      </c>
      <c r="E124" s="17" t="s">
        <v>176</v>
      </c>
      <c r="F124" s="17"/>
      <c r="G124" s="17" t="s">
        <v>105</v>
      </c>
      <c r="H124" s="17"/>
      <c r="I124" s="17"/>
      <c r="J124" s="31">
        <v>100</v>
      </c>
      <c r="K124" s="17"/>
      <c r="L124" s="19">
        <f t="shared" si="0"/>
        <v>0.5</v>
      </c>
    </row>
    <row r="125" spans="1:12" x14ac:dyDescent="0.3">
      <c r="A125" s="8" t="s">
        <v>174</v>
      </c>
      <c r="B125" s="8" t="s">
        <v>72</v>
      </c>
      <c r="C125" s="8"/>
      <c r="D125" s="17" t="s">
        <v>175</v>
      </c>
      <c r="E125" s="17" t="s">
        <v>176</v>
      </c>
      <c r="F125" s="17"/>
      <c r="G125" s="17" t="s">
        <v>105</v>
      </c>
      <c r="H125" s="17"/>
      <c r="I125" s="17"/>
      <c r="J125" s="31">
        <v>100</v>
      </c>
      <c r="K125" s="17"/>
      <c r="L125" s="19">
        <f t="shared" si="0"/>
        <v>0.5</v>
      </c>
    </row>
    <row r="126" spans="1:12" x14ac:dyDescent="0.3">
      <c r="A126" s="8" t="s">
        <v>174</v>
      </c>
      <c r="B126" s="8" t="s">
        <v>80</v>
      </c>
      <c r="C126" s="8"/>
      <c r="D126" s="17" t="s">
        <v>175</v>
      </c>
      <c r="E126" s="17" t="s">
        <v>176</v>
      </c>
      <c r="F126" s="17"/>
      <c r="G126" s="17" t="s">
        <v>105</v>
      </c>
      <c r="H126" s="17"/>
      <c r="I126" s="17"/>
      <c r="J126" s="31">
        <v>100</v>
      </c>
      <c r="K126" s="17"/>
      <c r="L126" s="19">
        <f t="shared" si="0"/>
        <v>0.5</v>
      </c>
    </row>
    <row r="127" spans="1:12" x14ac:dyDescent="0.3">
      <c r="A127" s="8" t="s">
        <v>174</v>
      </c>
      <c r="B127" s="8" t="s">
        <v>87</v>
      </c>
      <c r="C127" s="8"/>
      <c r="D127" s="17" t="s">
        <v>175</v>
      </c>
      <c r="E127" s="17" t="s">
        <v>176</v>
      </c>
      <c r="F127" s="17"/>
      <c r="G127" s="17" t="s">
        <v>105</v>
      </c>
      <c r="H127" s="17"/>
      <c r="I127" s="17"/>
      <c r="J127" s="31">
        <v>100</v>
      </c>
      <c r="K127" s="17"/>
      <c r="L127" s="19">
        <f t="shared" si="0"/>
        <v>0.5</v>
      </c>
    </row>
    <row r="128" spans="1:12" x14ac:dyDescent="0.3">
      <c r="A128" s="8" t="s">
        <v>174</v>
      </c>
      <c r="B128" s="8" t="s">
        <v>76</v>
      </c>
      <c r="C128" s="8"/>
      <c r="D128" s="17" t="s">
        <v>175</v>
      </c>
      <c r="E128" s="17" t="s">
        <v>176</v>
      </c>
      <c r="F128" s="17"/>
      <c r="G128" s="17" t="s">
        <v>105</v>
      </c>
      <c r="H128" s="17"/>
      <c r="I128" s="17"/>
      <c r="J128" s="31">
        <v>100</v>
      </c>
      <c r="K128" s="17"/>
      <c r="L128" s="19">
        <f t="shared" si="0"/>
        <v>0.5</v>
      </c>
    </row>
    <row r="129" spans="1:12" x14ac:dyDescent="0.3">
      <c r="A129" s="8" t="s">
        <v>174</v>
      </c>
      <c r="B129" s="8" t="s">
        <v>75</v>
      </c>
      <c r="C129" s="8"/>
      <c r="D129" s="17" t="s">
        <v>175</v>
      </c>
      <c r="E129" s="17" t="s">
        <v>176</v>
      </c>
      <c r="F129" s="17"/>
      <c r="G129" s="17" t="s">
        <v>105</v>
      </c>
      <c r="H129" s="17"/>
      <c r="I129" s="17"/>
      <c r="J129" s="31">
        <v>100</v>
      </c>
      <c r="K129" s="17"/>
      <c r="L129" s="19">
        <f t="shared" si="0"/>
        <v>0.5</v>
      </c>
    </row>
    <row r="130" spans="1:12" x14ac:dyDescent="0.3">
      <c r="A130" s="8" t="s">
        <v>174</v>
      </c>
      <c r="B130" s="8" t="s">
        <v>61</v>
      </c>
      <c r="C130" s="8"/>
      <c r="D130" s="17" t="s">
        <v>175</v>
      </c>
      <c r="E130" s="17" t="s">
        <v>176</v>
      </c>
      <c r="F130" s="17"/>
      <c r="G130" s="17" t="s">
        <v>105</v>
      </c>
      <c r="H130" s="17"/>
      <c r="I130" s="17"/>
      <c r="J130" s="31">
        <v>100</v>
      </c>
      <c r="K130" s="17"/>
      <c r="L130" s="19">
        <f t="shared" si="0"/>
        <v>0.5</v>
      </c>
    </row>
    <row r="131" spans="1:12" x14ac:dyDescent="0.3">
      <c r="A131" s="8" t="s">
        <v>174</v>
      </c>
      <c r="B131" s="8" t="s">
        <v>65</v>
      </c>
      <c r="C131" s="8"/>
      <c r="D131" s="17" t="s">
        <v>175</v>
      </c>
      <c r="E131" s="17" t="s">
        <v>176</v>
      </c>
      <c r="F131" s="17"/>
      <c r="G131" s="17" t="s">
        <v>105</v>
      </c>
      <c r="H131" s="17"/>
      <c r="I131" s="17"/>
      <c r="J131" s="31">
        <v>100</v>
      </c>
      <c r="K131" s="17"/>
      <c r="L131" s="19">
        <f t="shared" si="0"/>
        <v>0.5</v>
      </c>
    </row>
    <row r="132" spans="1:12" x14ac:dyDescent="0.3">
      <c r="A132" s="8" t="s">
        <v>174</v>
      </c>
      <c r="B132" s="8" t="s">
        <v>90</v>
      </c>
      <c r="C132" s="8"/>
      <c r="D132" s="17" t="s">
        <v>175</v>
      </c>
      <c r="E132" s="17" t="s">
        <v>176</v>
      </c>
      <c r="F132" s="17"/>
      <c r="G132" s="17" t="s">
        <v>105</v>
      </c>
      <c r="H132" s="17"/>
      <c r="I132" s="17"/>
      <c r="J132" s="31">
        <v>100</v>
      </c>
      <c r="K132" s="17"/>
      <c r="L132" s="19">
        <f t="shared" si="0"/>
        <v>0.5</v>
      </c>
    </row>
    <row r="133" spans="1:12" x14ac:dyDescent="0.3">
      <c r="A133" s="8" t="s">
        <v>174</v>
      </c>
      <c r="B133" s="8" t="s">
        <v>85</v>
      </c>
      <c r="C133" s="8"/>
      <c r="D133" s="17" t="s">
        <v>175</v>
      </c>
      <c r="E133" s="17" t="s">
        <v>176</v>
      </c>
      <c r="F133" s="17"/>
      <c r="G133" s="17" t="s">
        <v>105</v>
      </c>
      <c r="H133" s="17"/>
      <c r="I133" s="17"/>
      <c r="J133" s="31">
        <v>100</v>
      </c>
      <c r="K133" s="17"/>
      <c r="L133" s="19">
        <f t="shared" si="0"/>
        <v>0.5</v>
      </c>
    </row>
    <row r="134" spans="1:12" x14ac:dyDescent="0.3">
      <c r="A134" s="8" t="s">
        <v>174</v>
      </c>
      <c r="B134" s="8" t="s">
        <v>81</v>
      </c>
      <c r="C134" s="8"/>
      <c r="D134" s="17" t="s">
        <v>175</v>
      </c>
      <c r="E134" s="17" t="s">
        <v>176</v>
      </c>
      <c r="F134" s="17"/>
      <c r="G134" s="17" t="s">
        <v>105</v>
      </c>
      <c r="H134" s="17"/>
      <c r="I134" s="17"/>
      <c r="J134" s="31">
        <v>100</v>
      </c>
      <c r="K134" s="17"/>
      <c r="L134" s="19">
        <f t="shared" si="0"/>
        <v>0.5</v>
      </c>
    </row>
    <row r="135" spans="1:12" x14ac:dyDescent="0.3">
      <c r="A135" s="8" t="s">
        <v>174</v>
      </c>
      <c r="B135" s="8" t="s">
        <v>77</v>
      </c>
      <c r="C135" s="8"/>
      <c r="D135" s="17" t="s">
        <v>175</v>
      </c>
      <c r="E135" s="17" t="s">
        <v>176</v>
      </c>
      <c r="F135" s="17"/>
      <c r="G135" s="17" t="s">
        <v>105</v>
      </c>
      <c r="H135" s="17"/>
      <c r="I135" s="17"/>
      <c r="J135" s="31">
        <v>100</v>
      </c>
      <c r="K135" s="17"/>
      <c r="L135" s="19">
        <f t="shared" si="0"/>
        <v>0.5</v>
      </c>
    </row>
    <row r="136" spans="1:12" x14ac:dyDescent="0.3">
      <c r="A136" s="8" t="s">
        <v>174</v>
      </c>
      <c r="B136" s="8" t="s">
        <v>96</v>
      </c>
      <c r="C136" s="8"/>
      <c r="D136" s="17" t="s">
        <v>175</v>
      </c>
      <c r="E136" s="17" t="s">
        <v>176</v>
      </c>
      <c r="F136" s="17"/>
      <c r="G136" s="17" t="s">
        <v>105</v>
      </c>
      <c r="H136" s="17"/>
      <c r="I136" s="17"/>
      <c r="J136" s="31">
        <v>100</v>
      </c>
      <c r="K136" s="17"/>
      <c r="L136" s="19">
        <f t="shared" si="0"/>
        <v>0.5</v>
      </c>
    </row>
    <row r="137" spans="1:12" x14ac:dyDescent="0.3">
      <c r="A137" s="8" t="s">
        <v>174</v>
      </c>
      <c r="B137" s="8" t="s">
        <v>88</v>
      </c>
      <c r="C137" s="8"/>
      <c r="D137" s="17" t="s">
        <v>175</v>
      </c>
      <c r="E137" s="17" t="s">
        <v>176</v>
      </c>
      <c r="F137" s="17"/>
      <c r="G137" s="17" t="s">
        <v>105</v>
      </c>
      <c r="H137" s="17"/>
      <c r="I137" s="17"/>
      <c r="J137" s="31">
        <v>0</v>
      </c>
      <c r="K137" s="17"/>
      <c r="L137" s="19">
        <f t="shared" si="0"/>
        <v>0</v>
      </c>
    </row>
    <row r="138" spans="1:12" x14ac:dyDescent="0.3">
      <c r="A138" s="8" t="s">
        <v>174</v>
      </c>
      <c r="B138" s="8" t="s">
        <v>89</v>
      </c>
      <c r="C138" s="8"/>
      <c r="D138" s="17" t="s">
        <v>175</v>
      </c>
      <c r="E138" s="17" t="s">
        <v>176</v>
      </c>
      <c r="F138" s="17"/>
      <c r="G138" s="17" t="s">
        <v>105</v>
      </c>
      <c r="H138" s="17"/>
      <c r="I138" s="17"/>
      <c r="J138" s="31">
        <v>100</v>
      </c>
      <c r="K138" s="17"/>
      <c r="L138" s="19">
        <f t="shared" si="0"/>
        <v>0.5</v>
      </c>
    </row>
    <row r="139" spans="1:12" x14ac:dyDescent="0.3">
      <c r="A139" s="8" t="s">
        <v>174</v>
      </c>
      <c r="B139" s="8" t="s">
        <v>64</v>
      </c>
      <c r="C139" s="8"/>
      <c r="D139" s="17" t="s">
        <v>175</v>
      </c>
      <c r="E139" s="17" t="s">
        <v>176</v>
      </c>
      <c r="F139" s="17"/>
      <c r="G139" s="17" t="s">
        <v>105</v>
      </c>
      <c r="H139" s="17"/>
      <c r="I139" s="17"/>
      <c r="J139" s="31">
        <v>100</v>
      </c>
      <c r="K139" s="17"/>
      <c r="L139" s="19">
        <f t="shared" si="0"/>
        <v>0.5</v>
      </c>
    </row>
    <row r="140" spans="1:12" x14ac:dyDescent="0.3">
      <c r="A140" s="8" t="s">
        <v>174</v>
      </c>
      <c r="B140" s="8" t="s">
        <v>78</v>
      </c>
      <c r="C140" s="8"/>
      <c r="D140" s="17" t="s">
        <v>175</v>
      </c>
      <c r="E140" s="17" t="s">
        <v>176</v>
      </c>
      <c r="F140" s="17"/>
      <c r="G140" s="17" t="s">
        <v>105</v>
      </c>
      <c r="H140" s="17"/>
      <c r="I140" s="17"/>
      <c r="J140" s="31">
        <v>100</v>
      </c>
      <c r="K140" s="17"/>
      <c r="L140" s="19">
        <f t="shared" si="0"/>
        <v>0.5</v>
      </c>
    </row>
    <row r="141" spans="1:12" x14ac:dyDescent="0.3">
      <c r="A141" s="8" t="s">
        <v>174</v>
      </c>
      <c r="B141" s="8" t="s">
        <v>84</v>
      </c>
      <c r="C141" s="8"/>
      <c r="D141" s="17" t="s">
        <v>175</v>
      </c>
      <c r="E141" s="17" t="s">
        <v>176</v>
      </c>
      <c r="F141" s="17"/>
      <c r="G141" s="17" t="s">
        <v>105</v>
      </c>
      <c r="H141" s="17"/>
      <c r="I141" s="17"/>
      <c r="J141" s="31">
        <v>100</v>
      </c>
      <c r="K141" s="17"/>
      <c r="L141" s="19">
        <f t="shared" si="0"/>
        <v>0.5</v>
      </c>
    </row>
    <row r="142" spans="1:12" x14ac:dyDescent="0.3">
      <c r="A142" s="8" t="s">
        <v>174</v>
      </c>
      <c r="B142" s="8" t="s">
        <v>79</v>
      </c>
      <c r="C142" s="8"/>
      <c r="D142" s="17" t="s">
        <v>175</v>
      </c>
      <c r="E142" s="17" t="s">
        <v>176</v>
      </c>
      <c r="F142" s="17"/>
      <c r="G142" s="17" t="s">
        <v>105</v>
      </c>
      <c r="H142" s="17"/>
      <c r="I142" s="17"/>
      <c r="J142" s="31">
        <v>100</v>
      </c>
      <c r="K142" s="17"/>
      <c r="L142" s="19">
        <f t="shared" si="0"/>
        <v>0.5</v>
      </c>
    </row>
    <row r="143" spans="1:12" x14ac:dyDescent="0.3">
      <c r="A143" s="8" t="s">
        <v>174</v>
      </c>
      <c r="B143" s="8" t="s">
        <v>66</v>
      </c>
      <c r="C143" s="8"/>
      <c r="D143" s="17" t="s">
        <v>175</v>
      </c>
      <c r="E143" s="17" t="s">
        <v>176</v>
      </c>
      <c r="F143" s="17"/>
      <c r="G143" s="17" t="s">
        <v>105</v>
      </c>
      <c r="H143" s="17"/>
      <c r="I143" s="17"/>
      <c r="J143" s="31">
        <v>100</v>
      </c>
      <c r="K143" s="17"/>
      <c r="L143" s="19">
        <f t="shared" si="0"/>
        <v>0.5</v>
      </c>
    </row>
    <row r="144" spans="1:12" x14ac:dyDescent="0.3">
      <c r="A144" s="8" t="s">
        <v>174</v>
      </c>
      <c r="B144" s="8" t="s">
        <v>83</v>
      </c>
      <c r="C144" s="8"/>
      <c r="D144" s="17" t="s">
        <v>175</v>
      </c>
      <c r="E144" s="17" t="s">
        <v>176</v>
      </c>
      <c r="F144" s="17"/>
      <c r="G144" s="17" t="s">
        <v>105</v>
      </c>
      <c r="H144" s="17"/>
      <c r="I144" s="17"/>
      <c r="J144" s="31">
        <v>100</v>
      </c>
      <c r="K144" s="17"/>
      <c r="L144" s="19">
        <f t="shared" ref="L144:L155" si="1">IF(J144&lt;60,0,IF(J144&gt;=100,0.5,(J144*0.05-2)/8))</f>
        <v>0.5</v>
      </c>
    </row>
    <row r="145" spans="1:12" x14ac:dyDescent="0.3">
      <c r="A145" s="8" t="s">
        <v>174</v>
      </c>
      <c r="B145" s="8" t="s">
        <v>94</v>
      </c>
      <c r="C145" s="8"/>
      <c r="D145" s="17" t="s">
        <v>175</v>
      </c>
      <c r="E145" s="17" t="s">
        <v>176</v>
      </c>
      <c r="F145" s="17"/>
      <c r="G145" s="17" t="s">
        <v>105</v>
      </c>
      <c r="H145" s="17"/>
      <c r="I145" s="17"/>
      <c r="J145" s="31">
        <v>100</v>
      </c>
      <c r="K145" s="17"/>
      <c r="L145" s="19">
        <f t="shared" si="1"/>
        <v>0.5</v>
      </c>
    </row>
    <row r="146" spans="1:12" x14ac:dyDescent="0.3">
      <c r="A146" s="8" t="s">
        <v>174</v>
      </c>
      <c r="B146" s="8" t="s">
        <v>93</v>
      </c>
      <c r="C146" s="8"/>
      <c r="D146" s="17" t="s">
        <v>175</v>
      </c>
      <c r="E146" s="17" t="s">
        <v>176</v>
      </c>
      <c r="F146" s="17"/>
      <c r="G146" s="17" t="s">
        <v>105</v>
      </c>
      <c r="H146" s="17"/>
      <c r="I146" s="17"/>
      <c r="J146" s="31">
        <v>100</v>
      </c>
      <c r="K146" s="17"/>
      <c r="L146" s="19">
        <f t="shared" si="1"/>
        <v>0.5</v>
      </c>
    </row>
    <row r="147" spans="1:12" x14ac:dyDescent="0.3">
      <c r="A147" s="8" t="s">
        <v>174</v>
      </c>
      <c r="B147" s="8" t="s">
        <v>68</v>
      </c>
      <c r="C147" s="8"/>
      <c r="D147" s="17" t="s">
        <v>175</v>
      </c>
      <c r="E147" s="17" t="s">
        <v>176</v>
      </c>
      <c r="F147" s="17"/>
      <c r="G147" s="17" t="s">
        <v>105</v>
      </c>
      <c r="H147" s="17"/>
      <c r="I147" s="17"/>
      <c r="J147" s="31">
        <v>100</v>
      </c>
      <c r="K147" s="17"/>
      <c r="L147" s="19">
        <f t="shared" si="1"/>
        <v>0.5</v>
      </c>
    </row>
    <row r="148" spans="1:12" x14ac:dyDescent="0.3">
      <c r="A148" s="8" t="s">
        <v>174</v>
      </c>
      <c r="B148" s="8" t="s">
        <v>67</v>
      </c>
      <c r="C148" s="8"/>
      <c r="D148" s="17" t="s">
        <v>175</v>
      </c>
      <c r="E148" s="17" t="s">
        <v>176</v>
      </c>
      <c r="F148" s="17"/>
      <c r="G148" s="17" t="s">
        <v>105</v>
      </c>
      <c r="H148" s="17"/>
      <c r="I148" s="17"/>
      <c r="J148" s="31">
        <v>100</v>
      </c>
      <c r="K148" s="17"/>
      <c r="L148" s="19">
        <f t="shared" si="1"/>
        <v>0.5</v>
      </c>
    </row>
    <row r="149" spans="1:12" x14ac:dyDescent="0.3">
      <c r="A149" s="8" t="s">
        <v>174</v>
      </c>
      <c r="B149" s="8" t="s">
        <v>63</v>
      </c>
      <c r="C149" s="8"/>
      <c r="D149" s="17" t="s">
        <v>175</v>
      </c>
      <c r="E149" s="17" t="s">
        <v>176</v>
      </c>
      <c r="F149" s="17"/>
      <c r="G149" s="17" t="s">
        <v>105</v>
      </c>
      <c r="H149" s="17"/>
      <c r="I149" s="17"/>
      <c r="J149" s="31">
        <v>100</v>
      </c>
      <c r="K149" s="17"/>
      <c r="L149" s="19">
        <f t="shared" si="1"/>
        <v>0.5</v>
      </c>
    </row>
    <row r="150" spans="1:12" x14ac:dyDescent="0.3">
      <c r="A150" s="8" t="s">
        <v>174</v>
      </c>
      <c r="B150" s="8" t="s">
        <v>86</v>
      </c>
      <c r="C150" s="8"/>
      <c r="D150" s="17" t="s">
        <v>175</v>
      </c>
      <c r="E150" s="17" t="s">
        <v>176</v>
      </c>
      <c r="F150" s="17"/>
      <c r="G150" s="17" t="s">
        <v>105</v>
      </c>
      <c r="H150" s="17"/>
      <c r="I150" s="17"/>
      <c r="J150" s="31">
        <v>100</v>
      </c>
      <c r="K150" s="17"/>
      <c r="L150" s="19">
        <f t="shared" si="1"/>
        <v>0.5</v>
      </c>
    </row>
    <row r="151" spans="1:12" x14ac:dyDescent="0.3">
      <c r="A151" s="8" t="s">
        <v>174</v>
      </c>
      <c r="B151" s="8" t="s">
        <v>70</v>
      </c>
      <c r="C151" s="8"/>
      <c r="D151" s="17" t="s">
        <v>175</v>
      </c>
      <c r="E151" s="17" t="s">
        <v>176</v>
      </c>
      <c r="F151" s="17"/>
      <c r="G151" s="17" t="s">
        <v>105</v>
      </c>
      <c r="H151" s="17"/>
      <c r="I151" s="17"/>
      <c r="J151" s="31">
        <v>100</v>
      </c>
      <c r="K151" s="17"/>
      <c r="L151" s="19">
        <f t="shared" si="1"/>
        <v>0.5</v>
      </c>
    </row>
    <row r="152" spans="1:12" x14ac:dyDescent="0.3">
      <c r="A152" s="8" t="s">
        <v>174</v>
      </c>
      <c r="B152" s="8" t="s">
        <v>60</v>
      </c>
      <c r="C152" s="8"/>
      <c r="D152" s="17" t="s">
        <v>175</v>
      </c>
      <c r="E152" s="17" t="s">
        <v>176</v>
      </c>
      <c r="F152" s="17"/>
      <c r="G152" s="17" t="s">
        <v>105</v>
      </c>
      <c r="H152" s="17"/>
      <c r="I152" s="17"/>
      <c r="J152" s="31">
        <v>100</v>
      </c>
      <c r="K152" s="17"/>
      <c r="L152" s="19">
        <f t="shared" si="1"/>
        <v>0.5</v>
      </c>
    </row>
    <row r="153" spans="1:12" x14ac:dyDescent="0.3">
      <c r="A153" s="8" t="s">
        <v>174</v>
      </c>
      <c r="B153" s="8" t="s">
        <v>62</v>
      </c>
      <c r="C153" s="8"/>
      <c r="D153" s="17" t="s">
        <v>175</v>
      </c>
      <c r="E153" s="17" t="s">
        <v>176</v>
      </c>
      <c r="F153" s="17"/>
      <c r="G153" s="17" t="s">
        <v>105</v>
      </c>
      <c r="H153" s="17"/>
      <c r="I153" s="17"/>
      <c r="J153" s="31">
        <v>100</v>
      </c>
      <c r="K153" s="17"/>
      <c r="L153" s="19">
        <f t="shared" si="1"/>
        <v>0.5</v>
      </c>
    </row>
    <row r="154" spans="1:12" x14ac:dyDescent="0.3">
      <c r="A154" s="8" t="s">
        <v>174</v>
      </c>
      <c r="B154" s="8" t="s">
        <v>91</v>
      </c>
      <c r="C154" s="8"/>
      <c r="D154" s="17" t="s">
        <v>175</v>
      </c>
      <c r="E154" s="17" t="s">
        <v>176</v>
      </c>
      <c r="F154" s="17"/>
      <c r="G154" s="17" t="s">
        <v>105</v>
      </c>
      <c r="H154" s="17"/>
      <c r="I154" s="17"/>
      <c r="J154" s="31">
        <v>100</v>
      </c>
      <c r="K154" s="17"/>
      <c r="L154" s="19">
        <f t="shared" si="1"/>
        <v>0.5</v>
      </c>
    </row>
    <row r="155" spans="1:12" x14ac:dyDescent="0.3">
      <c r="A155" s="8" t="s">
        <v>174</v>
      </c>
      <c r="B155" s="8" t="s">
        <v>69</v>
      </c>
      <c r="C155" s="8"/>
      <c r="D155" s="17" t="s">
        <v>175</v>
      </c>
      <c r="E155" s="17" t="s">
        <v>176</v>
      </c>
      <c r="F155" s="17"/>
      <c r="G155" s="17" t="s">
        <v>105</v>
      </c>
      <c r="H155" s="17"/>
      <c r="I155" s="17"/>
      <c r="J155" s="31">
        <v>0</v>
      </c>
      <c r="K155" s="17"/>
      <c r="L155" s="19">
        <f t="shared" si="1"/>
        <v>0</v>
      </c>
    </row>
  </sheetData>
  <sortState xmlns:xlrd2="http://schemas.microsoft.com/office/spreadsheetml/2017/richdata2" ref="A2:L6">
    <sortCondition ref="B1:B6"/>
  </sortState>
  <phoneticPr fontId="7" type="noConversion"/>
  <dataValidations count="3">
    <dataValidation allowBlank="1" showInputMessage="1" showErrorMessage="1" sqref="D1 E1:E1048576" xr:uid="{00000000-0002-0000-0500-000000000000}"/>
    <dataValidation type="list" allowBlank="1" showInputMessage="1" showErrorMessage="1" sqref="G2:G6 F2:F1048576" xr:uid="{00000000-0002-0000-0500-000001000000}">
      <formula1>"上学期,下学期,国家级,省级,市/校级,院级"</formula1>
    </dataValidation>
    <dataValidation type="list" allowBlank="1" showInputMessage="1" showErrorMessage="1" sqref="D2:D1048576" xr:uid="{00000000-0002-0000-0500-000002000000}">
      <formula1>"体育课程成绩,校内外体育竞赛,校内外体育活动"</formula1>
    </dataValidation>
  </dataValidation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6"/>
  <sheetViews>
    <sheetView workbookViewId="0">
      <selection activeCell="D27" sqref="D27"/>
    </sheetView>
  </sheetViews>
  <sheetFormatPr defaultColWidth="9.19921875" defaultRowHeight="13.5" x14ac:dyDescent="0.3"/>
  <cols>
    <col min="1" max="1" width="17.06640625" customWidth="1"/>
    <col min="2" max="2" width="14.1328125" customWidth="1"/>
    <col min="3" max="3" width="6" customWidth="1"/>
    <col min="4" max="4" width="22.46484375" customWidth="1"/>
    <col min="5" max="5" width="29.19921875" bestFit="1" customWidth="1"/>
    <col min="6" max="6" width="11.53125" customWidth="1"/>
    <col min="7" max="8" width="8.1328125" customWidth="1"/>
    <col min="9" max="9" width="6" customWidth="1"/>
    <col min="10" max="10" width="6" style="21" customWidth="1"/>
    <col min="11" max="11" width="15.1328125" style="21" customWidth="1"/>
    <col min="12" max="12" width="6" style="21" customWidth="1"/>
    <col min="13" max="13" width="39.3984375" customWidth="1"/>
  </cols>
  <sheetData>
    <row r="1" spans="1:13" x14ac:dyDescent="0.3">
      <c r="A1" s="17" t="s">
        <v>0</v>
      </c>
      <c r="B1" s="17" t="s">
        <v>1</v>
      </c>
      <c r="C1" s="17" t="s">
        <v>2</v>
      </c>
      <c r="D1" s="17" t="s">
        <v>40</v>
      </c>
      <c r="E1" s="17" t="s">
        <v>41</v>
      </c>
      <c r="F1" s="17" t="s">
        <v>42</v>
      </c>
      <c r="G1" s="17" t="s">
        <v>43</v>
      </c>
      <c r="H1" s="17" t="s">
        <v>50</v>
      </c>
      <c r="I1" s="17" t="s">
        <v>51</v>
      </c>
      <c r="J1" s="20" t="s">
        <v>44</v>
      </c>
      <c r="K1" s="20" t="s">
        <v>52</v>
      </c>
      <c r="L1" s="20" t="s">
        <v>39</v>
      </c>
      <c r="M1" s="1"/>
    </row>
    <row r="2" spans="1:13" x14ac:dyDescent="0.3">
      <c r="A2" s="8" t="s">
        <v>59</v>
      </c>
      <c r="B2" s="17" t="s">
        <v>71</v>
      </c>
      <c r="C2" s="17"/>
      <c r="D2" s="8" t="s">
        <v>56</v>
      </c>
      <c r="E2" s="17" t="s">
        <v>112</v>
      </c>
      <c r="F2" s="17" t="s">
        <v>103</v>
      </c>
      <c r="G2" s="17"/>
      <c r="H2" s="17" t="s">
        <v>111</v>
      </c>
      <c r="I2" s="17" t="s">
        <v>108</v>
      </c>
      <c r="J2" s="20">
        <v>1</v>
      </c>
      <c r="K2" s="20">
        <v>0.5</v>
      </c>
      <c r="L2" s="20">
        <v>0.5</v>
      </c>
    </row>
    <row r="3" spans="1:13" x14ac:dyDescent="0.3">
      <c r="A3" s="8" t="s">
        <v>59</v>
      </c>
      <c r="B3" s="17" t="s">
        <v>64</v>
      </c>
      <c r="C3" s="22"/>
      <c r="D3" s="8" t="s">
        <v>56</v>
      </c>
      <c r="E3" s="17" t="s">
        <v>112</v>
      </c>
      <c r="F3" s="17" t="s">
        <v>103</v>
      </c>
      <c r="G3" s="17"/>
      <c r="H3" s="17" t="s">
        <v>114</v>
      </c>
      <c r="I3" s="17" t="s">
        <v>113</v>
      </c>
      <c r="J3" s="20">
        <v>0.25</v>
      </c>
      <c r="K3" s="20">
        <v>0.8</v>
      </c>
      <c r="L3" s="20">
        <f>K3*J3</f>
        <v>0.2</v>
      </c>
    </row>
    <row r="4" spans="1:13" x14ac:dyDescent="0.3">
      <c r="A4" s="8" t="s">
        <v>59</v>
      </c>
      <c r="B4" s="17" t="s">
        <v>63</v>
      </c>
      <c r="C4" s="17"/>
      <c r="D4" s="8" t="s">
        <v>56</v>
      </c>
      <c r="E4" s="17" t="s">
        <v>112</v>
      </c>
      <c r="F4" s="17" t="s">
        <v>103</v>
      </c>
      <c r="G4" s="17"/>
      <c r="H4" s="17" t="s">
        <v>114</v>
      </c>
      <c r="I4" s="17" t="s">
        <v>108</v>
      </c>
      <c r="J4" s="20">
        <v>0.25</v>
      </c>
      <c r="K4" s="20">
        <v>0.5</v>
      </c>
      <c r="L4" s="20">
        <v>0.125</v>
      </c>
    </row>
    <row r="5" spans="1:13" x14ac:dyDescent="0.3">
      <c r="A5" s="8" t="s">
        <v>59</v>
      </c>
      <c r="B5" s="17" t="s">
        <v>72</v>
      </c>
      <c r="C5" s="17"/>
      <c r="D5" s="8" t="s">
        <v>56</v>
      </c>
      <c r="E5" s="17" t="s">
        <v>112</v>
      </c>
      <c r="F5" s="17" t="s">
        <v>103</v>
      </c>
      <c r="G5" s="17"/>
      <c r="H5" s="17" t="s">
        <v>114</v>
      </c>
      <c r="I5" s="17" t="s">
        <v>108</v>
      </c>
      <c r="J5" s="20">
        <v>0.25</v>
      </c>
      <c r="K5" s="20">
        <v>0.5</v>
      </c>
      <c r="L5" s="20">
        <v>0.125</v>
      </c>
    </row>
    <row r="6" spans="1:13" x14ac:dyDescent="0.3">
      <c r="A6" s="8" t="s">
        <v>59</v>
      </c>
      <c r="B6" s="17" t="s">
        <v>87</v>
      </c>
      <c r="C6" s="17"/>
      <c r="D6" s="8" t="s">
        <v>56</v>
      </c>
      <c r="E6" s="17" t="s">
        <v>112</v>
      </c>
      <c r="F6" s="17" t="s">
        <v>103</v>
      </c>
      <c r="G6" s="17"/>
      <c r="H6" s="17" t="s">
        <v>114</v>
      </c>
      <c r="I6" s="17" t="s">
        <v>108</v>
      </c>
      <c r="J6" s="20">
        <v>0.25</v>
      </c>
      <c r="K6" s="20">
        <v>0.5</v>
      </c>
      <c r="L6" s="20">
        <v>0.125</v>
      </c>
    </row>
  </sheetData>
  <phoneticPr fontId="7" type="noConversion"/>
  <dataValidations count="3">
    <dataValidation allowBlank="1" showInputMessage="1" showErrorMessage="1" sqref="D1" xr:uid="{00000000-0002-0000-0600-000000000000}"/>
    <dataValidation type="list" allowBlank="1" showInputMessage="1" showErrorMessage="1" sqref="D2:D1048576 B3:B6" xr:uid="{00000000-0002-0000-0600-000001000000}">
      <formula1>"文化艺术实践,校内外文化艺术竞赛"</formula1>
    </dataValidation>
    <dataValidation type="list" allowBlank="1" showInputMessage="1" showErrorMessage="1" sqref="G2 F2:F1048576" xr:uid="{00000000-0002-0000-0600-000002000000}">
      <formula1>"上学期,下学期,国家级,市/校级,院级,省级"</formula1>
    </dataValidation>
  </dataValidation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48"/>
  <sheetViews>
    <sheetView topLeftCell="B31" workbookViewId="0">
      <selection activeCell="F33" sqref="F33"/>
    </sheetView>
  </sheetViews>
  <sheetFormatPr defaultColWidth="9.19921875" defaultRowHeight="13.5" x14ac:dyDescent="0.3"/>
  <cols>
    <col min="1" max="1" width="47.796875" style="1" bestFit="1" customWidth="1"/>
    <col min="2" max="2" width="14.1328125" style="1" customWidth="1"/>
    <col min="3" max="3" width="6" style="1" customWidth="1"/>
    <col min="4" max="4" width="22.46484375" style="1" customWidth="1"/>
    <col min="5" max="5" width="39.53125" style="1" customWidth="1"/>
    <col min="6" max="6" width="11.53125" style="1" customWidth="1"/>
    <col min="7" max="8" width="6" style="1" customWidth="1"/>
    <col min="9" max="9" width="7.06640625" style="32" bestFit="1" customWidth="1"/>
    <col min="10" max="10" width="15.1328125" style="32" customWidth="1"/>
    <col min="11" max="11" width="7.06640625" style="32" bestFit="1" customWidth="1"/>
    <col min="12" max="12" width="32.1328125" customWidth="1"/>
  </cols>
  <sheetData>
    <row r="1" spans="1:12" x14ac:dyDescent="0.3">
      <c r="A1" s="2" t="s">
        <v>0</v>
      </c>
      <c r="B1" s="2" t="s">
        <v>1</v>
      </c>
      <c r="C1" s="2" t="s">
        <v>2</v>
      </c>
      <c r="D1" s="2" t="s">
        <v>40</v>
      </c>
      <c r="E1" s="2" t="s">
        <v>41</v>
      </c>
      <c r="F1" s="2" t="s">
        <v>42</v>
      </c>
      <c r="G1" s="2" t="s">
        <v>50</v>
      </c>
      <c r="H1" s="2" t="s">
        <v>51</v>
      </c>
      <c r="I1" s="19" t="s">
        <v>44</v>
      </c>
      <c r="J1" s="19" t="s">
        <v>52</v>
      </c>
      <c r="K1" s="19" t="s">
        <v>39</v>
      </c>
      <c r="L1" s="1"/>
    </row>
    <row r="2" spans="1:12" x14ac:dyDescent="0.3">
      <c r="A2" s="10" t="s">
        <v>59</v>
      </c>
      <c r="B2" s="16" t="s">
        <v>62</v>
      </c>
      <c r="C2" s="2"/>
      <c r="D2" s="2" t="s">
        <v>177</v>
      </c>
      <c r="E2" s="2"/>
      <c r="F2" s="2" t="s">
        <v>178</v>
      </c>
      <c r="G2" s="2"/>
      <c r="H2" s="2"/>
      <c r="I2" s="19"/>
      <c r="J2" s="19"/>
      <c r="K2" s="19">
        <v>3</v>
      </c>
    </row>
    <row r="3" spans="1:12" x14ac:dyDescent="0.3">
      <c r="A3" s="10" t="s">
        <v>59</v>
      </c>
      <c r="B3" s="16" t="s">
        <v>70</v>
      </c>
      <c r="C3" s="2"/>
      <c r="D3" s="2" t="s">
        <v>177</v>
      </c>
      <c r="E3" s="2"/>
      <c r="F3" s="2" t="s">
        <v>178</v>
      </c>
      <c r="G3" s="2"/>
      <c r="H3" s="2"/>
      <c r="I3" s="19"/>
      <c r="J3" s="19"/>
      <c r="K3" s="19">
        <v>0.6</v>
      </c>
    </row>
    <row r="4" spans="1:12" x14ac:dyDescent="0.3">
      <c r="A4" s="10" t="s">
        <v>59</v>
      </c>
      <c r="B4" s="16" t="s">
        <v>64</v>
      </c>
      <c r="C4" s="2"/>
      <c r="D4" s="2" t="s">
        <v>177</v>
      </c>
      <c r="E4" s="2"/>
      <c r="F4" s="2" t="s">
        <v>178</v>
      </c>
      <c r="G4" s="2"/>
      <c r="H4" s="2"/>
      <c r="I4" s="19"/>
      <c r="J4" s="19"/>
      <c r="K4" s="19">
        <v>3</v>
      </c>
    </row>
    <row r="5" spans="1:12" x14ac:dyDescent="0.3">
      <c r="A5" s="10" t="s">
        <v>59</v>
      </c>
      <c r="B5" s="16" t="s">
        <v>65</v>
      </c>
      <c r="C5" s="2"/>
      <c r="D5" s="2" t="s">
        <v>177</v>
      </c>
      <c r="E5" s="2"/>
      <c r="F5" s="2" t="s">
        <v>178</v>
      </c>
      <c r="G5" s="2"/>
      <c r="H5" s="2"/>
      <c r="I5" s="19"/>
      <c r="J5" s="19"/>
      <c r="K5" s="19">
        <v>3</v>
      </c>
    </row>
    <row r="6" spans="1:12" x14ac:dyDescent="0.3">
      <c r="A6" s="10" t="s">
        <v>59</v>
      </c>
      <c r="B6" s="16" t="s">
        <v>61</v>
      </c>
      <c r="C6" s="2"/>
      <c r="D6" s="2" t="s">
        <v>177</v>
      </c>
      <c r="E6" s="2"/>
      <c r="F6" s="2" t="s">
        <v>178</v>
      </c>
      <c r="G6" s="2"/>
      <c r="H6" s="2"/>
      <c r="I6" s="19"/>
      <c r="J6" s="19"/>
      <c r="K6" s="19">
        <v>3</v>
      </c>
    </row>
    <row r="7" spans="1:12" x14ac:dyDescent="0.3">
      <c r="A7" s="10" t="s">
        <v>59</v>
      </c>
      <c r="B7" s="16" t="s">
        <v>87</v>
      </c>
      <c r="C7" s="2"/>
      <c r="D7" s="2" t="s">
        <v>177</v>
      </c>
      <c r="E7" s="2"/>
      <c r="F7" s="2" t="s">
        <v>178</v>
      </c>
      <c r="G7" s="2"/>
      <c r="H7" s="2"/>
      <c r="I7" s="19"/>
      <c r="J7" s="19"/>
      <c r="K7" s="19">
        <v>1.2250000000000001</v>
      </c>
    </row>
    <row r="8" spans="1:12" x14ac:dyDescent="0.3">
      <c r="A8" s="10" t="s">
        <v>59</v>
      </c>
      <c r="B8" s="16" t="s">
        <v>71</v>
      </c>
      <c r="C8" s="2"/>
      <c r="D8" s="2" t="s">
        <v>177</v>
      </c>
      <c r="E8" s="2"/>
      <c r="F8" s="2" t="s">
        <v>178</v>
      </c>
      <c r="G8" s="2"/>
      <c r="H8" s="2"/>
      <c r="I8" s="19"/>
      <c r="J8" s="19"/>
      <c r="K8" s="19">
        <v>1.75</v>
      </c>
    </row>
    <row r="9" spans="1:12" x14ac:dyDescent="0.3">
      <c r="A9" s="10" t="s">
        <v>59</v>
      </c>
      <c r="B9" s="16" t="s">
        <v>63</v>
      </c>
      <c r="C9" s="2"/>
      <c r="D9" s="2" t="s">
        <v>177</v>
      </c>
      <c r="E9" s="2"/>
      <c r="F9" s="2" t="s">
        <v>178</v>
      </c>
      <c r="G9" s="2"/>
      <c r="H9" s="2"/>
      <c r="I9" s="19"/>
      <c r="J9" s="19"/>
      <c r="K9" s="19">
        <v>2.5</v>
      </c>
    </row>
    <row r="10" spans="1:12" x14ac:dyDescent="0.3">
      <c r="A10" s="10" t="s">
        <v>59</v>
      </c>
      <c r="B10" s="16" t="s">
        <v>95</v>
      </c>
      <c r="C10" s="2"/>
      <c r="D10" s="2" t="s">
        <v>57</v>
      </c>
      <c r="E10" s="2"/>
      <c r="F10" s="2"/>
      <c r="G10" s="2"/>
      <c r="H10" s="2"/>
      <c r="I10" s="19">
        <v>1.2112666666666669</v>
      </c>
      <c r="J10" s="19"/>
      <c r="K10" s="19">
        <v>1.2112666666666669</v>
      </c>
    </row>
    <row r="11" spans="1:12" x14ac:dyDescent="0.3">
      <c r="A11" s="10" t="s">
        <v>59</v>
      </c>
      <c r="B11" s="16" t="s">
        <v>92</v>
      </c>
      <c r="C11" s="2"/>
      <c r="D11" s="2" t="s">
        <v>57</v>
      </c>
      <c r="E11" s="2"/>
      <c r="F11" s="2"/>
      <c r="G11" s="2"/>
      <c r="H11" s="2"/>
      <c r="I11" s="19">
        <v>1.5368333333333331</v>
      </c>
      <c r="J11" s="19"/>
      <c r="K11" s="19">
        <v>1.5368333333333331</v>
      </c>
    </row>
    <row r="12" spans="1:12" x14ac:dyDescent="0.3">
      <c r="A12" s="10" t="s">
        <v>59</v>
      </c>
      <c r="B12" s="16" t="s">
        <v>74</v>
      </c>
      <c r="C12" s="2"/>
      <c r="D12" s="2" t="s">
        <v>57</v>
      </c>
      <c r="E12" s="2"/>
      <c r="F12" s="2"/>
      <c r="G12" s="2"/>
      <c r="H12" s="2"/>
      <c r="I12" s="19">
        <v>1.4197333333333331</v>
      </c>
      <c r="J12" s="19"/>
      <c r="K12" s="19">
        <v>1.4197333333333331</v>
      </c>
    </row>
    <row r="13" spans="1:12" x14ac:dyDescent="0.3">
      <c r="A13" s="10" t="s">
        <v>59</v>
      </c>
      <c r="B13" s="16" t="s">
        <v>97</v>
      </c>
      <c r="C13" s="2"/>
      <c r="D13" s="2" t="s">
        <v>57</v>
      </c>
      <c r="E13" s="2"/>
      <c r="F13" s="2"/>
      <c r="G13" s="2"/>
      <c r="H13" s="2"/>
      <c r="I13" s="19">
        <v>1.4513888888888891</v>
      </c>
      <c r="J13" s="19"/>
      <c r="K13" s="19">
        <v>1.4513888888888891</v>
      </c>
    </row>
    <row r="14" spans="1:12" x14ac:dyDescent="0.3">
      <c r="A14" s="10" t="s">
        <v>59</v>
      </c>
      <c r="B14" s="16" t="s">
        <v>73</v>
      </c>
      <c r="C14" s="2"/>
      <c r="D14" s="2" t="s">
        <v>57</v>
      </c>
      <c r="E14" s="2"/>
      <c r="F14" s="2"/>
      <c r="G14" s="2"/>
      <c r="H14" s="2"/>
      <c r="I14" s="19">
        <v>1.5284</v>
      </c>
      <c r="J14" s="19"/>
      <c r="K14" s="19">
        <v>1.5284</v>
      </c>
    </row>
    <row r="15" spans="1:12" x14ac:dyDescent="0.3">
      <c r="A15" s="10" t="s">
        <v>59</v>
      </c>
      <c r="B15" s="16" t="s">
        <v>82</v>
      </c>
      <c r="C15" s="2"/>
      <c r="D15" s="2" t="s">
        <v>57</v>
      </c>
      <c r="E15" s="2"/>
      <c r="F15" s="2"/>
      <c r="G15" s="2"/>
      <c r="H15" s="2"/>
      <c r="I15" s="19">
        <v>1.541733333333333</v>
      </c>
      <c r="J15" s="19"/>
      <c r="K15" s="19">
        <v>1.541733333333333</v>
      </c>
    </row>
    <row r="16" spans="1:12" x14ac:dyDescent="0.3">
      <c r="A16" s="10" t="s">
        <v>59</v>
      </c>
      <c r="B16" s="16" t="s">
        <v>71</v>
      </c>
      <c r="C16" s="2"/>
      <c r="D16" s="2" t="s">
        <v>57</v>
      </c>
      <c r="E16" s="2"/>
      <c r="F16" s="2"/>
      <c r="G16" s="2"/>
      <c r="H16" s="2"/>
      <c r="I16" s="19">
        <v>1.4197333333333331</v>
      </c>
      <c r="J16" s="19"/>
      <c r="K16" s="19">
        <v>1.4197333333333331</v>
      </c>
    </row>
    <row r="17" spans="1:11" x14ac:dyDescent="0.3">
      <c r="A17" s="10" t="s">
        <v>59</v>
      </c>
      <c r="B17" s="16" t="s">
        <v>72</v>
      </c>
      <c r="C17" s="2"/>
      <c r="D17" s="2" t="s">
        <v>57</v>
      </c>
      <c r="E17" s="2"/>
      <c r="F17" s="2"/>
      <c r="G17" s="2"/>
      <c r="H17" s="2"/>
      <c r="I17" s="19">
        <v>1.394166666666667</v>
      </c>
      <c r="J17" s="19"/>
      <c r="K17" s="19">
        <v>1.394166666666667</v>
      </c>
    </row>
    <row r="18" spans="1:11" x14ac:dyDescent="0.3">
      <c r="A18" s="10" t="s">
        <v>59</v>
      </c>
      <c r="B18" s="16" t="s">
        <v>80</v>
      </c>
      <c r="C18" s="2"/>
      <c r="D18" s="2" t="s">
        <v>57</v>
      </c>
      <c r="E18" s="2"/>
      <c r="F18" s="2"/>
      <c r="G18" s="2"/>
      <c r="H18" s="2"/>
      <c r="I18" s="19">
        <v>1.541733333333333</v>
      </c>
      <c r="J18" s="19"/>
      <c r="K18" s="19">
        <v>1.541733333333333</v>
      </c>
    </row>
    <row r="19" spans="1:11" x14ac:dyDescent="0.3">
      <c r="A19" s="10" t="s">
        <v>59</v>
      </c>
      <c r="B19" s="16" t="s">
        <v>87</v>
      </c>
      <c r="C19" s="2"/>
      <c r="D19" s="2" t="s">
        <v>57</v>
      </c>
      <c r="E19" s="2"/>
      <c r="F19" s="2"/>
      <c r="G19" s="2"/>
      <c r="H19" s="2"/>
      <c r="I19" s="19">
        <v>1.385833333333333</v>
      </c>
      <c r="J19" s="19"/>
      <c r="K19" s="19">
        <v>1.385833333333333</v>
      </c>
    </row>
    <row r="20" spans="1:11" x14ac:dyDescent="0.3">
      <c r="A20" s="10" t="s">
        <v>59</v>
      </c>
      <c r="B20" s="16" t="s">
        <v>76</v>
      </c>
      <c r="C20" s="2"/>
      <c r="D20" s="2" t="s">
        <v>57</v>
      </c>
      <c r="E20" s="2"/>
      <c r="F20" s="2"/>
      <c r="G20" s="2"/>
      <c r="H20" s="2"/>
      <c r="I20" s="19">
        <v>1.412222222222222</v>
      </c>
      <c r="J20" s="19"/>
      <c r="K20" s="19">
        <v>1.412222222222222</v>
      </c>
    </row>
    <row r="21" spans="1:11" x14ac:dyDescent="0.3">
      <c r="A21" s="10" t="s">
        <v>59</v>
      </c>
      <c r="B21" s="16" t="s">
        <v>75</v>
      </c>
      <c r="C21" s="2"/>
      <c r="D21" s="2" t="s">
        <v>57</v>
      </c>
      <c r="E21" s="2"/>
      <c r="F21" s="2"/>
      <c r="G21" s="2"/>
      <c r="H21" s="2"/>
      <c r="I21" s="19">
        <v>1.397777777777778</v>
      </c>
      <c r="J21" s="19"/>
      <c r="K21" s="19">
        <v>1.397777777777778</v>
      </c>
    </row>
    <row r="22" spans="1:11" x14ac:dyDescent="0.3">
      <c r="A22" s="10" t="s">
        <v>59</v>
      </c>
      <c r="B22" s="16" t="s">
        <v>61</v>
      </c>
      <c r="C22" s="2"/>
      <c r="D22" s="2" t="s">
        <v>57</v>
      </c>
      <c r="E22" s="2"/>
      <c r="F22" s="2"/>
      <c r="G22" s="2"/>
      <c r="H22" s="2"/>
      <c r="I22" s="19">
        <v>1.4197333333333331</v>
      </c>
      <c r="J22" s="19"/>
      <c r="K22" s="19">
        <v>1.4197333333333331</v>
      </c>
    </row>
    <row r="23" spans="1:11" x14ac:dyDescent="0.3">
      <c r="A23" s="10" t="s">
        <v>59</v>
      </c>
      <c r="B23" s="16" t="s">
        <v>65</v>
      </c>
      <c r="C23" s="2"/>
      <c r="D23" s="2" t="s">
        <v>57</v>
      </c>
      <c r="E23" s="2"/>
      <c r="F23" s="2"/>
      <c r="G23" s="2"/>
      <c r="H23" s="2"/>
      <c r="I23" s="19">
        <v>1.394166666666667</v>
      </c>
      <c r="J23" s="19"/>
      <c r="K23" s="19">
        <v>1.394166666666667</v>
      </c>
    </row>
    <row r="24" spans="1:11" x14ac:dyDescent="0.3">
      <c r="A24" s="10" t="s">
        <v>59</v>
      </c>
      <c r="B24" s="16" t="s">
        <v>90</v>
      </c>
      <c r="C24" s="2"/>
      <c r="D24" s="2" t="s">
        <v>57</v>
      </c>
      <c r="E24" s="2"/>
      <c r="F24" s="2"/>
      <c r="G24" s="2"/>
      <c r="H24" s="2"/>
      <c r="I24" s="19">
        <v>1.5276000000000001</v>
      </c>
      <c r="J24" s="19"/>
      <c r="K24" s="19">
        <v>1.5276000000000001</v>
      </c>
    </row>
    <row r="25" spans="1:11" x14ac:dyDescent="0.3">
      <c r="A25" s="10" t="s">
        <v>59</v>
      </c>
      <c r="B25" s="16" t="s">
        <v>85</v>
      </c>
      <c r="C25" s="2"/>
      <c r="D25" s="2" t="s">
        <v>57</v>
      </c>
      <c r="E25" s="2"/>
      <c r="F25" s="2"/>
      <c r="G25" s="2"/>
      <c r="H25" s="2"/>
      <c r="I25" s="19">
        <v>1.411733333333334</v>
      </c>
      <c r="J25" s="19"/>
      <c r="K25" s="19">
        <v>1.411733333333334</v>
      </c>
    </row>
    <row r="26" spans="1:11" x14ac:dyDescent="0.3">
      <c r="A26" s="10" t="s">
        <v>59</v>
      </c>
      <c r="B26" s="16" t="s">
        <v>81</v>
      </c>
      <c r="C26" s="2"/>
      <c r="D26" s="2" t="s">
        <v>57</v>
      </c>
      <c r="E26" s="2"/>
      <c r="F26" s="2"/>
      <c r="G26" s="2"/>
      <c r="H26" s="2"/>
      <c r="I26" s="19">
        <v>1.3895</v>
      </c>
      <c r="J26" s="19"/>
      <c r="K26" s="19">
        <v>1.3895</v>
      </c>
    </row>
    <row r="27" spans="1:11" x14ac:dyDescent="0.3">
      <c r="A27" s="10" t="s">
        <v>59</v>
      </c>
      <c r="B27" s="16" t="s">
        <v>77</v>
      </c>
      <c r="C27" s="2"/>
      <c r="D27" s="2" t="s">
        <v>57</v>
      </c>
      <c r="E27" s="2"/>
      <c r="F27" s="2"/>
      <c r="G27" s="2"/>
      <c r="H27" s="2"/>
      <c r="I27" s="19">
        <v>1.4513888888888891</v>
      </c>
      <c r="J27" s="19"/>
      <c r="K27" s="19">
        <v>1.4513888888888891</v>
      </c>
    </row>
    <row r="28" spans="1:11" x14ac:dyDescent="0.3">
      <c r="A28" s="10" t="s">
        <v>59</v>
      </c>
      <c r="B28" s="16" t="s">
        <v>96</v>
      </c>
      <c r="C28" s="2"/>
      <c r="D28" s="2" t="s">
        <v>57</v>
      </c>
      <c r="E28" s="2"/>
      <c r="F28" s="2"/>
      <c r="G28" s="2"/>
      <c r="H28" s="2"/>
      <c r="I28" s="19">
        <v>1.4513888888888891</v>
      </c>
      <c r="J28" s="19"/>
      <c r="K28" s="19">
        <v>1.4513888888888891</v>
      </c>
    </row>
    <row r="29" spans="1:11" x14ac:dyDescent="0.3">
      <c r="A29" s="10" t="s">
        <v>59</v>
      </c>
      <c r="B29" s="16" t="s">
        <v>88</v>
      </c>
      <c r="C29" s="2"/>
      <c r="D29" s="2" t="s">
        <v>57</v>
      </c>
      <c r="E29" s="2"/>
      <c r="F29" s="2"/>
      <c r="G29" s="2"/>
      <c r="H29" s="2"/>
      <c r="I29" s="19">
        <v>1.5276000000000001</v>
      </c>
      <c r="J29" s="19"/>
      <c r="K29" s="19">
        <v>1.5276000000000001</v>
      </c>
    </row>
    <row r="30" spans="1:11" x14ac:dyDescent="0.3">
      <c r="A30" s="10" t="s">
        <v>59</v>
      </c>
      <c r="B30" s="16" t="s">
        <v>89</v>
      </c>
      <c r="C30" s="2"/>
      <c r="D30" s="2" t="s">
        <v>57</v>
      </c>
      <c r="E30" s="2"/>
      <c r="F30" s="2"/>
      <c r="G30" s="2"/>
      <c r="H30" s="2"/>
      <c r="I30" s="19">
        <v>1.4293333333333329</v>
      </c>
      <c r="J30" s="19"/>
      <c r="K30" s="19">
        <v>1.4293333333333329</v>
      </c>
    </row>
    <row r="31" spans="1:11" x14ac:dyDescent="0.3">
      <c r="A31" s="10" t="s">
        <v>59</v>
      </c>
      <c r="B31" s="16" t="s">
        <v>64</v>
      </c>
      <c r="C31" s="2"/>
      <c r="D31" s="2" t="s">
        <v>57</v>
      </c>
      <c r="E31" s="2"/>
      <c r="F31" s="2"/>
      <c r="G31" s="2"/>
      <c r="H31" s="2"/>
      <c r="I31" s="19">
        <v>1.5276000000000001</v>
      </c>
      <c r="J31" s="19"/>
      <c r="K31" s="19">
        <v>1.5276000000000001</v>
      </c>
    </row>
    <row r="32" spans="1:11" x14ac:dyDescent="0.3">
      <c r="A32" s="10" t="s">
        <v>59</v>
      </c>
      <c r="B32" s="16" t="s">
        <v>78</v>
      </c>
      <c r="C32" s="2"/>
      <c r="D32" s="2" t="s">
        <v>57</v>
      </c>
      <c r="E32" s="2"/>
      <c r="F32" s="2"/>
      <c r="G32" s="2"/>
      <c r="H32" s="2"/>
      <c r="I32" s="19">
        <v>1.4293333333333329</v>
      </c>
      <c r="J32" s="19"/>
      <c r="K32" s="19">
        <v>1.4293333333333329</v>
      </c>
    </row>
    <row r="33" spans="1:11" x14ac:dyDescent="0.3">
      <c r="A33" s="10" t="s">
        <v>59</v>
      </c>
      <c r="B33" s="16" t="s">
        <v>84</v>
      </c>
      <c r="C33" s="2"/>
      <c r="D33" s="2" t="s">
        <v>57</v>
      </c>
      <c r="E33" s="2"/>
      <c r="F33" s="2"/>
      <c r="G33" s="2"/>
      <c r="H33" s="2"/>
      <c r="I33" s="19">
        <v>1.412222222222222</v>
      </c>
      <c r="J33" s="19"/>
      <c r="K33" s="19">
        <v>1.412222222222222</v>
      </c>
    </row>
    <row r="34" spans="1:11" x14ac:dyDescent="0.3">
      <c r="A34" s="10" t="s">
        <v>59</v>
      </c>
      <c r="B34" s="16" t="s">
        <v>79</v>
      </c>
      <c r="C34" s="2"/>
      <c r="D34" s="2" t="s">
        <v>57</v>
      </c>
      <c r="E34" s="2"/>
      <c r="F34" s="2"/>
      <c r="G34" s="2"/>
      <c r="H34" s="2"/>
      <c r="I34" s="19">
        <v>1.412222222222222</v>
      </c>
      <c r="J34" s="19"/>
      <c r="K34" s="19">
        <v>1.412222222222222</v>
      </c>
    </row>
    <row r="35" spans="1:11" x14ac:dyDescent="0.3">
      <c r="A35" s="10" t="s">
        <v>59</v>
      </c>
      <c r="B35" s="16" t="s">
        <v>66</v>
      </c>
      <c r="C35" s="2"/>
      <c r="D35" s="2" t="s">
        <v>57</v>
      </c>
      <c r="E35" s="2"/>
      <c r="F35" s="2"/>
      <c r="G35" s="2"/>
      <c r="H35" s="2"/>
      <c r="I35" s="19">
        <v>1.490277777777778</v>
      </c>
      <c r="J35" s="19"/>
      <c r="K35" s="19">
        <v>1.490277777777778</v>
      </c>
    </row>
    <row r="36" spans="1:11" x14ac:dyDescent="0.3">
      <c r="A36" s="10" t="s">
        <v>59</v>
      </c>
      <c r="B36" s="16" t="s">
        <v>83</v>
      </c>
      <c r="C36" s="2"/>
      <c r="D36" s="2" t="s">
        <v>57</v>
      </c>
      <c r="E36" s="2"/>
      <c r="F36" s="2"/>
      <c r="G36" s="2"/>
      <c r="H36" s="2"/>
      <c r="I36" s="19">
        <v>1.412222222222222</v>
      </c>
      <c r="J36" s="19"/>
      <c r="K36" s="19">
        <v>1.412222222222222</v>
      </c>
    </row>
    <row r="37" spans="1:11" x14ac:dyDescent="0.3">
      <c r="A37" s="10" t="s">
        <v>59</v>
      </c>
      <c r="B37" s="16" t="s">
        <v>94</v>
      </c>
      <c r="C37" s="2"/>
      <c r="D37" s="2" t="s">
        <v>57</v>
      </c>
      <c r="E37" s="2"/>
      <c r="F37" s="2"/>
      <c r="G37" s="2"/>
      <c r="H37" s="2"/>
      <c r="I37" s="19">
        <v>1.5276000000000001</v>
      </c>
      <c r="J37" s="19"/>
      <c r="K37" s="19">
        <v>1.5276000000000001</v>
      </c>
    </row>
    <row r="38" spans="1:11" x14ac:dyDescent="0.3">
      <c r="A38" s="10" t="s">
        <v>59</v>
      </c>
      <c r="B38" s="16" t="s">
        <v>93</v>
      </c>
      <c r="C38" s="2"/>
      <c r="D38" s="2" t="s">
        <v>57</v>
      </c>
      <c r="E38" s="2"/>
      <c r="F38" s="2"/>
      <c r="G38" s="2"/>
      <c r="H38" s="2"/>
      <c r="I38" s="19">
        <v>1.4513888888888891</v>
      </c>
      <c r="J38" s="19"/>
      <c r="K38" s="19">
        <v>1.4513888888888891</v>
      </c>
    </row>
    <row r="39" spans="1:11" x14ac:dyDescent="0.3">
      <c r="A39" s="10" t="s">
        <v>59</v>
      </c>
      <c r="B39" s="16" t="s">
        <v>68</v>
      </c>
      <c r="C39" s="2"/>
      <c r="D39" s="2" t="s">
        <v>57</v>
      </c>
      <c r="E39" s="2"/>
      <c r="F39" s="2"/>
      <c r="G39" s="2"/>
      <c r="H39" s="2"/>
      <c r="I39" s="19">
        <v>1.5960000000000001</v>
      </c>
      <c r="J39" s="19"/>
      <c r="K39" s="19">
        <v>1.5960000000000001</v>
      </c>
    </row>
    <row r="40" spans="1:11" x14ac:dyDescent="0.3">
      <c r="A40" s="10" t="s">
        <v>59</v>
      </c>
      <c r="B40" s="16" t="s">
        <v>67</v>
      </c>
      <c r="C40" s="2"/>
      <c r="D40" s="2" t="s">
        <v>57</v>
      </c>
      <c r="E40" s="2"/>
      <c r="F40" s="2"/>
      <c r="G40" s="2"/>
      <c r="H40" s="2"/>
      <c r="I40" s="19">
        <v>1.4293333333333329</v>
      </c>
      <c r="J40" s="19"/>
      <c r="K40" s="19">
        <v>1.4293333333333329</v>
      </c>
    </row>
    <row r="41" spans="1:11" x14ac:dyDescent="0.3">
      <c r="A41" s="10" t="s">
        <v>59</v>
      </c>
      <c r="B41" s="16" t="s">
        <v>63</v>
      </c>
      <c r="C41" s="2"/>
      <c r="D41" s="2" t="s">
        <v>57</v>
      </c>
      <c r="E41" s="2"/>
      <c r="F41" s="2"/>
      <c r="G41" s="2"/>
      <c r="H41" s="2"/>
      <c r="I41" s="19">
        <v>1.541733333333333</v>
      </c>
      <c r="J41" s="19"/>
      <c r="K41" s="19">
        <v>1.541733333333333</v>
      </c>
    </row>
    <row r="42" spans="1:11" x14ac:dyDescent="0.3">
      <c r="A42" s="10" t="s">
        <v>59</v>
      </c>
      <c r="B42" s="16" t="s">
        <v>86</v>
      </c>
      <c r="C42" s="2"/>
      <c r="D42" s="2" t="s">
        <v>57</v>
      </c>
      <c r="E42" s="2"/>
      <c r="F42" s="2"/>
      <c r="G42" s="2"/>
      <c r="H42" s="2"/>
      <c r="I42" s="19">
        <v>1.4293333333333329</v>
      </c>
      <c r="J42" s="19"/>
      <c r="K42" s="19">
        <v>1.4293333333333329</v>
      </c>
    </row>
    <row r="43" spans="1:11" x14ac:dyDescent="0.3">
      <c r="A43" s="10" t="s">
        <v>59</v>
      </c>
      <c r="B43" s="16" t="s">
        <v>70</v>
      </c>
      <c r="C43" s="2"/>
      <c r="D43" s="2" t="s">
        <v>57</v>
      </c>
      <c r="E43" s="2"/>
      <c r="F43" s="2"/>
      <c r="G43" s="2"/>
      <c r="H43" s="2"/>
      <c r="I43" s="19">
        <v>1.311866666666667</v>
      </c>
      <c r="J43" s="19"/>
      <c r="K43" s="19">
        <v>1.311866666666667</v>
      </c>
    </row>
    <row r="44" spans="1:11" x14ac:dyDescent="0.3">
      <c r="A44" s="10" t="s">
        <v>59</v>
      </c>
      <c r="B44" s="16" t="s">
        <v>60</v>
      </c>
      <c r="C44" s="2"/>
      <c r="D44" s="2" t="s">
        <v>57</v>
      </c>
      <c r="E44" s="2"/>
      <c r="F44" s="2"/>
      <c r="G44" s="2"/>
      <c r="H44" s="2"/>
      <c r="I44" s="19">
        <v>1.451269841269841</v>
      </c>
      <c r="J44" s="19"/>
      <c r="K44" s="19">
        <v>1.451269841269841</v>
      </c>
    </row>
    <row r="45" spans="1:11" x14ac:dyDescent="0.3">
      <c r="A45" s="10" t="s">
        <v>59</v>
      </c>
      <c r="B45" s="16" t="s">
        <v>62</v>
      </c>
      <c r="C45" s="2"/>
      <c r="D45" s="2" t="s">
        <v>57</v>
      </c>
      <c r="E45" s="2"/>
      <c r="F45" s="2"/>
      <c r="G45" s="2"/>
      <c r="H45" s="2"/>
      <c r="I45" s="19">
        <v>1.4284571428571431</v>
      </c>
      <c r="J45" s="19"/>
      <c r="K45" s="19">
        <v>1.4284571428571431</v>
      </c>
    </row>
    <row r="46" spans="1:11" x14ac:dyDescent="0.3">
      <c r="A46" s="10" t="s">
        <v>59</v>
      </c>
      <c r="B46" s="16" t="s">
        <v>91</v>
      </c>
      <c r="C46" s="2"/>
      <c r="D46" s="2" t="s">
        <v>57</v>
      </c>
      <c r="E46" s="2"/>
      <c r="F46" s="2"/>
      <c r="G46" s="2"/>
      <c r="H46" s="2"/>
      <c r="I46" s="19">
        <v>1.6260317460317459</v>
      </c>
      <c r="J46" s="19"/>
      <c r="K46" s="19">
        <v>1.6260317460317459</v>
      </c>
    </row>
    <row r="47" spans="1:11" x14ac:dyDescent="0.3">
      <c r="A47" s="10" t="s">
        <v>59</v>
      </c>
      <c r="B47" s="16" t="s">
        <v>69</v>
      </c>
      <c r="C47" s="2"/>
      <c r="D47" s="2" t="s">
        <v>57</v>
      </c>
      <c r="E47" s="2"/>
      <c r="F47" s="2"/>
      <c r="G47" s="2"/>
      <c r="H47" s="2"/>
      <c r="I47" s="19">
        <v>1.575666666666667</v>
      </c>
      <c r="J47" s="19"/>
      <c r="K47" s="19">
        <v>1.575666666666667</v>
      </c>
    </row>
    <row r="48" spans="1:11" x14ac:dyDescent="0.3">
      <c r="B48" s="37"/>
    </row>
  </sheetData>
  <autoFilter ref="A1:L1" xr:uid="{00000000-0001-0000-0700-000000000000}"/>
  <phoneticPr fontId="7" type="noConversion"/>
  <dataValidations count="2">
    <dataValidation allowBlank="1" showInputMessage="1" showErrorMessage="1" sqref="D1" xr:uid="{00000000-0002-0000-0700-000000000000}"/>
    <dataValidation type="list" allowBlank="1" showInputMessage="1" showErrorMessage="1" sqref="D2:D1048576" xr:uid="{00000000-0002-0000-0700-000001000000}">
      <formula1>"劳动日常考核基础分,活动与卫生加减分,志愿服务,实习实训"</formula1>
    </dataValidation>
  </dataValidation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42"/>
  <sheetViews>
    <sheetView topLeftCell="B1" workbookViewId="0">
      <selection activeCell="J50" sqref="J50"/>
    </sheetView>
  </sheetViews>
  <sheetFormatPr defaultColWidth="9.19921875" defaultRowHeight="13.5" x14ac:dyDescent="0.3"/>
  <cols>
    <col min="1" max="1" width="47.796875" style="1" bestFit="1" customWidth="1"/>
    <col min="2" max="2" width="14.1328125" style="1" customWidth="1"/>
    <col min="3" max="3" width="6" style="1" customWidth="1"/>
    <col min="4" max="4" width="29.6640625" style="1" customWidth="1"/>
    <col min="5" max="5" width="47.59765625" style="1" bestFit="1" customWidth="1"/>
    <col min="6" max="6" width="7.86328125" style="1" bestFit="1" customWidth="1"/>
    <col min="7" max="7" width="7.33203125" style="1" customWidth="1"/>
    <col min="8" max="9" width="8.1328125" style="1" customWidth="1"/>
    <col min="10" max="10" width="8.06640625" style="32" bestFit="1" customWidth="1"/>
    <col min="11" max="11" width="15.1328125" style="32" customWidth="1"/>
    <col min="12" max="12" width="6" style="32" customWidth="1"/>
    <col min="13" max="16384" width="9.19921875" style="1"/>
  </cols>
  <sheetData>
    <row r="1" spans="1:12" ht="15.85" customHeight="1" x14ac:dyDescent="0.3">
      <c r="A1" s="2" t="s">
        <v>0</v>
      </c>
      <c r="B1" s="2" t="s">
        <v>1</v>
      </c>
      <c r="C1" s="2" t="s">
        <v>2</v>
      </c>
      <c r="D1" s="2" t="s">
        <v>40</v>
      </c>
      <c r="E1" s="2" t="s">
        <v>41</v>
      </c>
      <c r="F1" s="2" t="s">
        <v>42</v>
      </c>
      <c r="G1" s="2" t="s">
        <v>43</v>
      </c>
      <c r="H1" s="2" t="s">
        <v>50</v>
      </c>
      <c r="I1" s="2" t="s">
        <v>51</v>
      </c>
      <c r="J1" s="19" t="s">
        <v>44</v>
      </c>
      <c r="K1" s="19" t="s">
        <v>52</v>
      </c>
      <c r="L1" s="19" t="s">
        <v>39</v>
      </c>
    </row>
    <row r="2" spans="1:12" ht="15.85" customHeight="1" x14ac:dyDescent="0.3">
      <c r="A2" s="8" t="s">
        <v>59</v>
      </c>
      <c r="B2" s="24" t="s">
        <v>145</v>
      </c>
      <c r="C2" s="25"/>
      <c r="D2" s="17" t="s">
        <v>58</v>
      </c>
      <c r="E2" s="17" t="s">
        <v>117</v>
      </c>
      <c r="F2" s="17" t="s">
        <v>120</v>
      </c>
      <c r="G2" s="17" t="s">
        <v>119</v>
      </c>
      <c r="H2" s="17"/>
      <c r="I2" s="17"/>
      <c r="J2" s="20">
        <v>0.5</v>
      </c>
      <c r="K2" s="20"/>
      <c r="L2" s="20">
        <v>0.5</v>
      </c>
    </row>
    <row r="3" spans="1:12" ht="15.85" customHeight="1" x14ac:dyDescent="0.3">
      <c r="A3" s="8" t="s">
        <v>59</v>
      </c>
      <c r="B3" s="24" t="s">
        <v>145</v>
      </c>
      <c r="C3" s="25"/>
      <c r="D3" s="17" t="s">
        <v>58</v>
      </c>
      <c r="E3" s="17" t="s">
        <v>117</v>
      </c>
      <c r="F3" s="17" t="s">
        <v>120</v>
      </c>
      <c r="G3" s="17" t="s">
        <v>119</v>
      </c>
      <c r="H3" s="17"/>
      <c r="I3" s="17"/>
      <c r="J3" s="20">
        <v>0.5</v>
      </c>
      <c r="K3" s="20"/>
      <c r="L3" s="20">
        <v>0.5</v>
      </c>
    </row>
    <row r="4" spans="1:12" ht="15.85" customHeight="1" x14ac:dyDescent="0.3">
      <c r="A4" s="8" t="s">
        <v>59</v>
      </c>
      <c r="B4" s="17" t="s">
        <v>73</v>
      </c>
      <c r="C4" s="17"/>
      <c r="D4" s="8" t="s">
        <v>25</v>
      </c>
      <c r="E4" s="17" t="s">
        <v>115</v>
      </c>
      <c r="F4" s="17" t="s">
        <v>103</v>
      </c>
      <c r="G4" s="17"/>
      <c r="H4" s="17" t="s">
        <v>114</v>
      </c>
      <c r="I4" s="17"/>
      <c r="J4" s="20">
        <v>0.25</v>
      </c>
      <c r="K4" s="20"/>
      <c r="L4" s="20">
        <v>0.25</v>
      </c>
    </row>
    <row r="5" spans="1:12" ht="15.85" customHeight="1" x14ac:dyDescent="0.3">
      <c r="A5" s="8" t="s">
        <v>59</v>
      </c>
      <c r="B5" s="24" t="s">
        <v>126</v>
      </c>
      <c r="C5" s="25"/>
      <c r="D5" s="17" t="s">
        <v>58</v>
      </c>
      <c r="E5" s="23" t="s">
        <v>118</v>
      </c>
      <c r="F5" s="17" t="s">
        <v>120</v>
      </c>
      <c r="G5" s="17" t="s">
        <v>119</v>
      </c>
      <c r="H5" s="17"/>
      <c r="I5" s="17"/>
      <c r="J5" s="20">
        <v>0.3</v>
      </c>
      <c r="K5" s="20"/>
      <c r="L5" s="20">
        <v>0.3</v>
      </c>
    </row>
    <row r="6" spans="1:12" ht="15.85" customHeight="1" x14ac:dyDescent="0.3">
      <c r="A6" s="8" t="s">
        <v>59</v>
      </c>
      <c r="B6" s="24" t="s">
        <v>126</v>
      </c>
      <c r="C6" s="25"/>
      <c r="D6" s="17" t="s">
        <v>58</v>
      </c>
      <c r="E6" s="23" t="s">
        <v>118</v>
      </c>
      <c r="F6" s="17" t="s">
        <v>121</v>
      </c>
      <c r="G6" s="17" t="s">
        <v>119</v>
      </c>
      <c r="H6" s="17"/>
      <c r="I6" s="17"/>
      <c r="J6" s="20">
        <v>0.5</v>
      </c>
      <c r="K6" s="20"/>
      <c r="L6" s="20">
        <v>0.5</v>
      </c>
    </row>
    <row r="7" spans="1:12" ht="15.85" customHeight="1" x14ac:dyDescent="0.3">
      <c r="A7" s="8" t="s">
        <v>59</v>
      </c>
      <c r="B7" s="33" t="s">
        <v>126</v>
      </c>
      <c r="C7" s="17"/>
      <c r="D7" s="17" t="s">
        <v>58</v>
      </c>
      <c r="E7" s="23" t="s">
        <v>139</v>
      </c>
      <c r="F7" s="17" t="s">
        <v>121</v>
      </c>
      <c r="G7" s="17" t="s">
        <v>119</v>
      </c>
      <c r="H7" s="17"/>
      <c r="I7" s="17"/>
      <c r="J7" s="20">
        <v>0.7</v>
      </c>
      <c r="K7" s="20"/>
      <c r="L7" s="20">
        <v>0.7</v>
      </c>
    </row>
    <row r="8" spans="1:12" ht="15.85" customHeight="1" x14ac:dyDescent="0.3">
      <c r="A8" s="8" t="s">
        <v>59</v>
      </c>
      <c r="B8" s="33" t="s">
        <v>126</v>
      </c>
      <c r="C8" s="17"/>
      <c r="D8" s="17" t="s">
        <v>58</v>
      </c>
      <c r="E8" s="23" t="s">
        <v>139</v>
      </c>
      <c r="F8" s="17" t="s">
        <v>121</v>
      </c>
      <c r="G8" s="17" t="s">
        <v>105</v>
      </c>
      <c r="H8" s="17"/>
      <c r="I8" s="17"/>
      <c r="J8" s="20">
        <v>0.7</v>
      </c>
      <c r="K8" s="20"/>
      <c r="L8" s="20">
        <v>0.7</v>
      </c>
    </row>
    <row r="9" spans="1:12" ht="15.85" customHeight="1" x14ac:dyDescent="0.3">
      <c r="A9" s="8" t="s">
        <v>59</v>
      </c>
      <c r="B9" s="24" t="s">
        <v>126</v>
      </c>
      <c r="C9" s="25"/>
      <c r="D9" s="17" t="s">
        <v>25</v>
      </c>
      <c r="E9" s="23" t="s">
        <v>140</v>
      </c>
      <c r="F9" s="17" t="s">
        <v>127</v>
      </c>
      <c r="G9" s="17"/>
      <c r="H9" s="17" t="s">
        <v>114</v>
      </c>
      <c r="I9" s="17" t="s">
        <v>108</v>
      </c>
      <c r="J9" s="20">
        <v>2</v>
      </c>
      <c r="K9" s="20">
        <v>0.9</v>
      </c>
      <c r="L9" s="20">
        <v>1.8</v>
      </c>
    </row>
    <row r="10" spans="1:12" ht="15.85" customHeight="1" x14ac:dyDescent="0.3">
      <c r="A10" s="8" t="s">
        <v>59</v>
      </c>
      <c r="B10" s="24" t="s">
        <v>126</v>
      </c>
      <c r="C10" s="25"/>
      <c r="D10" s="17" t="s">
        <v>25</v>
      </c>
      <c r="E10" s="23" t="s">
        <v>141</v>
      </c>
      <c r="F10" s="17" t="s">
        <v>137</v>
      </c>
      <c r="G10" s="17"/>
      <c r="H10" s="17" t="s">
        <v>185</v>
      </c>
      <c r="I10" s="17"/>
      <c r="J10" s="20">
        <v>4</v>
      </c>
      <c r="K10" s="20">
        <v>0.9</v>
      </c>
      <c r="L10" s="20">
        <v>3.6</v>
      </c>
    </row>
    <row r="11" spans="1:12" ht="15.85" customHeight="1" x14ac:dyDescent="0.3">
      <c r="A11" s="8" t="s">
        <v>59</v>
      </c>
      <c r="B11" s="24" t="s">
        <v>126</v>
      </c>
      <c r="C11" s="25"/>
      <c r="D11" s="17" t="s">
        <v>25</v>
      </c>
      <c r="E11" s="23" t="s">
        <v>158</v>
      </c>
      <c r="F11" s="17" t="s">
        <v>159</v>
      </c>
      <c r="G11" s="17"/>
      <c r="H11" s="17" t="s">
        <v>111</v>
      </c>
      <c r="I11" s="17"/>
      <c r="J11" s="20">
        <v>2</v>
      </c>
      <c r="K11" s="20"/>
      <c r="L11" s="20">
        <v>2</v>
      </c>
    </row>
    <row r="12" spans="1:12" ht="15.85" customHeight="1" x14ac:dyDescent="0.3">
      <c r="A12" s="8" t="s">
        <v>59</v>
      </c>
      <c r="B12" s="24" t="s">
        <v>128</v>
      </c>
      <c r="C12" s="26"/>
      <c r="D12" s="17" t="s">
        <v>58</v>
      </c>
      <c r="E12" s="23" t="s">
        <v>123</v>
      </c>
      <c r="F12" s="17" t="s">
        <v>121</v>
      </c>
      <c r="G12" s="17" t="s">
        <v>119</v>
      </c>
      <c r="H12" s="17"/>
      <c r="I12" s="17"/>
      <c r="J12" s="20">
        <v>0.5</v>
      </c>
      <c r="K12" s="20"/>
      <c r="L12" s="20">
        <v>0.5</v>
      </c>
    </row>
    <row r="13" spans="1:12" ht="15.85" customHeight="1" x14ac:dyDescent="0.3">
      <c r="A13" s="8" t="s">
        <v>59</v>
      </c>
      <c r="B13" s="24" t="s">
        <v>128</v>
      </c>
      <c r="C13" s="26"/>
      <c r="D13" s="17" t="s">
        <v>58</v>
      </c>
      <c r="E13" s="23" t="s">
        <v>123</v>
      </c>
      <c r="F13" s="17" t="s">
        <v>121</v>
      </c>
      <c r="G13" s="17" t="s">
        <v>119</v>
      </c>
      <c r="H13" s="17"/>
      <c r="I13" s="17"/>
      <c r="J13" s="20">
        <v>0.5</v>
      </c>
      <c r="K13" s="20"/>
      <c r="L13" s="20">
        <v>0.5</v>
      </c>
    </row>
    <row r="14" spans="1:12" ht="15.85" customHeight="1" x14ac:dyDescent="0.3">
      <c r="A14" s="8" t="s">
        <v>59</v>
      </c>
      <c r="B14" s="17" t="s">
        <v>128</v>
      </c>
      <c r="C14" s="17"/>
      <c r="D14" s="17" t="s">
        <v>25</v>
      </c>
      <c r="E14" s="23" t="s">
        <v>157</v>
      </c>
      <c r="F14" s="17"/>
      <c r="G14" s="17"/>
      <c r="H14" s="17"/>
      <c r="I14" s="17"/>
      <c r="J14" s="20">
        <v>2.5</v>
      </c>
      <c r="K14" s="20"/>
      <c r="L14" s="20">
        <v>2.5</v>
      </c>
    </row>
    <row r="15" spans="1:12" ht="15.85" customHeight="1" x14ac:dyDescent="0.3">
      <c r="A15" s="8" t="s">
        <v>59</v>
      </c>
      <c r="B15" s="17" t="s">
        <v>128</v>
      </c>
      <c r="C15" s="17"/>
      <c r="D15" s="17" t="s">
        <v>25</v>
      </c>
      <c r="E15" s="23" t="s">
        <v>157</v>
      </c>
      <c r="F15" s="17"/>
      <c r="G15" s="17"/>
      <c r="H15" s="17"/>
      <c r="I15" s="17"/>
      <c r="J15" s="20">
        <v>2.5</v>
      </c>
      <c r="K15" s="20"/>
      <c r="L15" s="20">
        <v>2.5</v>
      </c>
    </row>
    <row r="16" spans="1:12" ht="15.85" customHeight="1" x14ac:dyDescent="0.3">
      <c r="A16" s="8" t="s">
        <v>59</v>
      </c>
      <c r="B16" s="17" t="s">
        <v>128</v>
      </c>
      <c r="C16" s="17"/>
      <c r="D16" s="17" t="s">
        <v>25</v>
      </c>
      <c r="E16" s="23" t="s">
        <v>142</v>
      </c>
      <c r="F16" s="17" t="s">
        <v>129</v>
      </c>
      <c r="G16" s="17"/>
      <c r="H16" s="17"/>
      <c r="I16" s="17"/>
      <c r="J16" s="20">
        <v>0.2</v>
      </c>
      <c r="K16" s="20"/>
      <c r="L16" s="20">
        <v>0.2</v>
      </c>
    </row>
    <row r="17" spans="1:12" ht="15.85" customHeight="1" x14ac:dyDescent="0.3">
      <c r="A17" s="8" t="s">
        <v>59</v>
      </c>
      <c r="B17" s="17" t="s">
        <v>128</v>
      </c>
      <c r="C17" s="17"/>
      <c r="D17" s="17" t="s">
        <v>25</v>
      </c>
      <c r="E17" s="23" t="s">
        <v>142</v>
      </c>
      <c r="F17" s="17" t="s">
        <v>129</v>
      </c>
      <c r="G17" s="17"/>
      <c r="H17" s="17"/>
      <c r="I17" s="17"/>
      <c r="J17" s="20">
        <v>0.2</v>
      </c>
      <c r="K17" s="20"/>
      <c r="L17" s="20">
        <v>0.2</v>
      </c>
    </row>
    <row r="18" spans="1:12" ht="15.85" customHeight="1" x14ac:dyDescent="0.3">
      <c r="A18" s="8" t="s">
        <v>59</v>
      </c>
      <c r="B18" s="33" t="s">
        <v>146</v>
      </c>
      <c r="C18" s="17"/>
      <c r="D18" s="17" t="s">
        <v>58</v>
      </c>
      <c r="E18" s="23" t="s">
        <v>181</v>
      </c>
      <c r="F18" s="17" t="s">
        <v>121</v>
      </c>
      <c r="G18" s="17" t="s">
        <v>119</v>
      </c>
      <c r="H18" s="17"/>
      <c r="I18" s="17"/>
      <c r="J18" s="20">
        <v>0.7</v>
      </c>
      <c r="K18" s="20"/>
      <c r="L18" s="20">
        <v>0.7</v>
      </c>
    </row>
    <row r="19" spans="1:12" ht="15.85" customHeight="1" x14ac:dyDescent="0.3">
      <c r="A19" s="8" t="s">
        <v>59</v>
      </c>
      <c r="B19" s="33" t="s">
        <v>146</v>
      </c>
      <c r="C19" s="17"/>
      <c r="D19" s="17" t="s">
        <v>58</v>
      </c>
      <c r="E19" s="23" t="s">
        <v>181</v>
      </c>
      <c r="F19" s="17" t="s">
        <v>120</v>
      </c>
      <c r="G19" s="17" t="s">
        <v>105</v>
      </c>
      <c r="H19" s="17"/>
      <c r="I19" s="17"/>
      <c r="J19" s="20">
        <v>0.5</v>
      </c>
      <c r="K19" s="20"/>
      <c r="L19" s="20">
        <v>0.5</v>
      </c>
    </row>
    <row r="20" spans="1:12" ht="15.85" customHeight="1" x14ac:dyDescent="0.3">
      <c r="A20" s="8" t="s">
        <v>59</v>
      </c>
      <c r="B20" s="33" t="s">
        <v>146</v>
      </c>
      <c r="C20" s="17"/>
      <c r="D20" s="17" t="s">
        <v>58</v>
      </c>
      <c r="E20" s="23" t="s">
        <v>184</v>
      </c>
      <c r="F20" s="17" t="s">
        <v>121</v>
      </c>
      <c r="G20" s="17" t="s">
        <v>119</v>
      </c>
      <c r="H20" s="17"/>
      <c r="I20" s="17"/>
      <c r="J20" s="20">
        <v>0.5</v>
      </c>
      <c r="K20" s="20"/>
      <c r="L20" s="20">
        <v>0.5</v>
      </c>
    </row>
    <row r="21" spans="1:12" ht="15.85" customHeight="1" x14ac:dyDescent="0.3">
      <c r="A21" s="8" t="s">
        <v>59</v>
      </c>
      <c r="B21" s="33" t="s">
        <v>146</v>
      </c>
      <c r="C21" s="17"/>
      <c r="D21" s="17" t="s">
        <v>58</v>
      </c>
      <c r="E21" s="23" t="s">
        <v>184</v>
      </c>
      <c r="F21" s="17" t="s">
        <v>121</v>
      </c>
      <c r="G21" s="17" t="s">
        <v>105</v>
      </c>
      <c r="H21" s="17"/>
      <c r="I21" s="17"/>
      <c r="J21" s="20">
        <v>0.5</v>
      </c>
      <c r="K21" s="20"/>
      <c r="L21" s="20">
        <v>0.5</v>
      </c>
    </row>
    <row r="22" spans="1:12" ht="15.85" customHeight="1" x14ac:dyDescent="0.3">
      <c r="A22" s="8" t="s">
        <v>59</v>
      </c>
      <c r="B22" s="24" t="s">
        <v>130</v>
      </c>
      <c r="C22" s="25"/>
      <c r="D22" s="17" t="s">
        <v>58</v>
      </c>
      <c r="E22" s="23" t="s">
        <v>122</v>
      </c>
      <c r="F22" s="17" t="s">
        <v>121</v>
      </c>
      <c r="G22" s="17" t="s">
        <v>119</v>
      </c>
      <c r="H22" s="17"/>
      <c r="I22" s="17"/>
      <c r="J22" s="20">
        <v>0.5</v>
      </c>
      <c r="K22" s="20"/>
      <c r="L22" s="20">
        <v>0.5</v>
      </c>
    </row>
    <row r="23" spans="1:12" ht="15.85" customHeight="1" x14ac:dyDescent="0.3">
      <c r="A23" s="8" t="s">
        <v>59</v>
      </c>
      <c r="B23" s="24" t="s">
        <v>130</v>
      </c>
      <c r="C23" s="25"/>
      <c r="D23" s="17" t="s">
        <v>58</v>
      </c>
      <c r="E23" s="23" t="s">
        <v>122</v>
      </c>
      <c r="F23" s="17" t="s">
        <v>121</v>
      </c>
      <c r="G23" s="17" t="s">
        <v>119</v>
      </c>
      <c r="H23" s="17"/>
      <c r="I23" s="17"/>
      <c r="J23" s="20">
        <v>0.5</v>
      </c>
      <c r="K23" s="20"/>
      <c r="L23" s="20">
        <v>0.5</v>
      </c>
    </row>
    <row r="24" spans="1:12" ht="15.85" customHeight="1" x14ac:dyDescent="0.3">
      <c r="A24" s="8" t="s">
        <v>59</v>
      </c>
      <c r="B24" s="17" t="s">
        <v>130</v>
      </c>
      <c r="C24" s="17"/>
      <c r="D24" s="17" t="s">
        <v>25</v>
      </c>
      <c r="E24" s="23" t="s">
        <v>165</v>
      </c>
      <c r="F24" s="17" t="s">
        <v>129</v>
      </c>
      <c r="G24" s="17"/>
      <c r="H24" s="17" t="s">
        <v>114</v>
      </c>
      <c r="I24" s="17"/>
      <c r="J24" s="20">
        <v>1</v>
      </c>
      <c r="K24" s="20">
        <v>0.9</v>
      </c>
      <c r="L24" s="20">
        <v>0.9</v>
      </c>
    </row>
    <row r="25" spans="1:12" ht="15.85" customHeight="1" x14ac:dyDescent="0.3">
      <c r="A25" s="8" t="s">
        <v>59</v>
      </c>
      <c r="B25" s="17" t="s">
        <v>130</v>
      </c>
      <c r="C25" s="17"/>
      <c r="D25" s="17" t="s">
        <v>25</v>
      </c>
      <c r="E25" s="23" t="s">
        <v>140</v>
      </c>
      <c r="F25" s="17" t="s">
        <v>127</v>
      </c>
      <c r="G25" s="17"/>
      <c r="H25" s="17" t="s">
        <v>111</v>
      </c>
      <c r="I25" s="17" t="s">
        <v>108</v>
      </c>
      <c r="J25" s="20">
        <v>3.5</v>
      </c>
      <c r="K25" s="20">
        <v>0.9</v>
      </c>
      <c r="L25" s="20">
        <v>3.15</v>
      </c>
    </row>
    <row r="26" spans="1:12" ht="15.85" customHeight="1" x14ac:dyDescent="0.3">
      <c r="A26" s="8" t="s">
        <v>59</v>
      </c>
      <c r="B26" s="24" t="s">
        <v>147</v>
      </c>
      <c r="C26" s="25"/>
      <c r="D26" s="17" t="s">
        <v>58</v>
      </c>
      <c r="E26" s="23" t="s">
        <v>124</v>
      </c>
      <c r="F26" s="17" t="s">
        <v>121</v>
      </c>
      <c r="G26" s="17" t="s">
        <v>119</v>
      </c>
      <c r="H26" s="17"/>
      <c r="I26" s="17"/>
      <c r="J26" s="20">
        <v>0.5</v>
      </c>
      <c r="K26" s="20"/>
      <c r="L26" s="20">
        <v>0.5</v>
      </c>
    </row>
    <row r="27" spans="1:12" ht="15.85" customHeight="1" x14ac:dyDescent="0.3">
      <c r="A27" s="8" t="s">
        <v>59</v>
      </c>
      <c r="B27" s="33" t="s">
        <v>147</v>
      </c>
      <c r="C27" s="17"/>
      <c r="D27" s="17" t="s">
        <v>58</v>
      </c>
      <c r="E27" s="23" t="s">
        <v>124</v>
      </c>
      <c r="F27" s="17" t="s">
        <v>121</v>
      </c>
      <c r="G27" s="17" t="s">
        <v>119</v>
      </c>
      <c r="H27" s="17"/>
      <c r="I27" s="17"/>
      <c r="J27" s="20">
        <v>0.5</v>
      </c>
      <c r="K27" s="20"/>
      <c r="L27" s="20">
        <v>0.5</v>
      </c>
    </row>
    <row r="28" spans="1:12" ht="15.85" customHeight="1" x14ac:dyDescent="0.3">
      <c r="A28" s="8" t="s">
        <v>59</v>
      </c>
      <c r="B28" s="17" t="s">
        <v>131</v>
      </c>
      <c r="C28" s="17"/>
      <c r="D28" s="17" t="s">
        <v>27</v>
      </c>
      <c r="E28" s="23" t="s">
        <v>143</v>
      </c>
      <c r="F28" s="17" t="s">
        <v>129</v>
      </c>
      <c r="G28" s="17"/>
      <c r="H28" s="17"/>
      <c r="I28" s="17" t="s">
        <v>108</v>
      </c>
      <c r="J28" s="20">
        <v>1</v>
      </c>
      <c r="K28" s="20">
        <v>0.5</v>
      </c>
      <c r="L28" s="20">
        <v>0.5</v>
      </c>
    </row>
    <row r="29" spans="1:12" ht="15.85" customHeight="1" x14ac:dyDescent="0.3">
      <c r="A29" s="8" t="s">
        <v>59</v>
      </c>
      <c r="B29" s="24" t="s">
        <v>131</v>
      </c>
      <c r="C29" s="25"/>
      <c r="D29" s="17" t="s">
        <v>27</v>
      </c>
      <c r="E29" s="23" t="s">
        <v>132</v>
      </c>
      <c r="F29" s="17" t="s">
        <v>103</v>
      </c>
      <c r="G29" s="17"/>
      <c r="H29" s="17" t="s">
        <v>111</v>
      </c>
      <c r="I29" s="17" t="s">
        <v>108</v>
      </c>
      <c r="J29" s="20">
        <v>0.5</v>
      </c>
      <c r="K29" s="20">
        <v>0.5</v>
      </c>
      <c r="L29" s="20">
        <v>0.25</v>
      </c>
    </row>
    <row r="30" spans="1:12" ht="15.85" customHeight="1" x14ac:dyDescent="0.3">
      <c r="A30" s="8" t="s">
        <v>59</v>
      </c>
      <c r="B30" s="24" t="s">
        <v>131</v>
      </c>
      <c r="C30" s="25"/>
      <c r="D30" s="17" t="s">
        <v>133</v>
      </c>
      <c r="E30" s="23" t="s">
        <v>144</v>
      </c>
      <c r="F30" s="17"/>
      <c r="G30" s="17"/>
      <c r="H30" s="17" t="s">
        <v>134</v>
      </c>
      <c r="I30" s="17"/>
      <c r="J30" s="20">
        <v>1</v>
      </c>
      <c r="K30" s="20"/>
      <c r="L30" s="20">
        <v>1</v>
      </c>
    </row>
    <row r="31" spans="1:12" ht="15.85" customHeight="1" x14ac:dyDescent="0.3">
      <c r="A31" s="8" t="s">
        <v>59</v>
      </c>
      <c r="B31" s="33" t="s">
        <v>131</v>
      </c>
      <c r="C31" s="17"/>
      <c r="D31" s="17" t="s">
        <v>26</v>
      </c>
      <c r="E31" s="23" t="s">
        <v>179</v>
      </c>
      <c r="F31" s="17"/>
      <c r="G31" s="17"/>
      <c r="H31" s="17"/>
      <c r="I31" s="17"/>
      <c r="J31" s="20">
        <v>460</v>
      </c>
      <c r="K31" s="20"/>
      <c r="L31" s="20">
        <f>J31/600</f>
        <v>0.76666666666666672</v>
      </c>
    </row>
    <row r="32" spans="1:12" ht="15.85" customHeight="1" x14ac:dyDescent="0.3">
      <c r="A32" s="8" t="s">
        <v>59</v>
      </c>
      <c r="B32" s="33" t="s">
        <v>131</v>
      </c>
      <c r="C32" s="17"/>
      <c r="D32" s="17" t="s">
        <v>58</v>
      </c>
      <c r="E32" s="23" t="s">
        <v>181</v>
      </c>
      <c r="F32" s="17" t="s">
        <v>120</v>
      </c>
      <c r="G32" s="17" t="s">
        <v>119</v>
      </c>
      <c r="H32" s="17"/>
      <c r="I32" s="17"/>
      <c r="J32" s="20">
        <v>0.5</v>
      </c>
      <c r="K32" s="20"/>
      <c r="L32" s="20">
        <v>0.5</v>
      </c>
    </row>
    <row r="33" spans="1:12" ht="15.85" customHeight="1" x14ac:dyDescent="0.3">
      <c r="A33" s="8" t="s">
        <v>59</v>
      </c>
      <c r="B33" s="33" t="s">
        <v>131</v>
      </c>
      <c r="C33" s="17"/>
      <c r="D33" s="17" t="s">
        <v>58</v>
      </c>
      <c r="E33" s="23" t="s">
        <v>181</v>
      </c>
      <c r="F33" s="17" t="s">
        <v>120</v>
      </c>
      <c r="G33" s="17" t="s">
        <v>105</v>
      </c>
      <c r="H33" s="17"/>
      <c r="I33" s="17"/>
      <c r="J33" s="20">
        <v>0.5</v>
      </c>
      <c r="K33" s="20"/>
      <c r="L33" s="20">
        <v>0.5</v>
      </c>
    </row>
    <row r="34" spans="1:12" ht="15.85" customHeight="1" x14ac:dyDescent="0.3">
      <c r="A34" s="8" t="s">
        <v>59</v>
      </c>
      <c r="B34" s="17" t="s">
        <v>135</v>
      </c>
      <c r="C34" s="17"/>
      <c r="D34" s="17" t="s">
        <v>25</v>
      </c>
      <c r="E34" s="23" t="s">
        <v>136</v>
      </c>
      <c r="F34" s="17" t="s">
        <v>137</v>
      </c>
      <c r="G34" s="17"/>
      <c r="H34" s="17" t="s">
        <v>138</v>
      </c>
      <c r="I34" s="17" t="s">
        <v>108</v>
      </c>
      <c r="J34" s="20">
        <v>4.5</v>
      </c>
      <c r="K34" s="20">
        <v>0.9</v>
      </c>
      <c r="L34" s="20">
        <v>4.05</v>
      </c>
    </row>
    <row r="35" spans="1:12" ht="15.85" customHeight="1" x14ac:dyDescent="0.3">
      <c r="A35" s="8" t="s">
        <v>59</v>
      </c>
      <c r="B35" s="17" t="s">
        <v>135</v>
      </c>
      <c r="C35" s="17"/>
      <c r="D35" s="17" t="s">
        <v>25</v>
      </c>
      <c r="E35" s="23" t="s">
        <v>166</v>
      </c>
      <c r="F35" s="17" t="s">
        <v>129</v>
      </c>
      <c r="G35" s="17"/>
      <c r="H35" s="17" t="s">
        <v>114</v>
      </c>
      <c r="I35" s="17" t="s">
        <v>108</v>
      </c>
      <c r="J35" s="20">
        <v>1</v>
      </c>
      <c r="K35" s="20">
        <v>0.9</v>
      </c>
      <c r="L35" s="20">
        <v>0.9</v>
      </c>
    </row>
    <row r="36" spans="1:12" ht="15.85" customHeight="1" x14ac:dyDescent="0.3">
      <c r="A36" s="8" t="s">
        <v>59</v>
      </c>
      <c r="B36" s="33" t="s">
        <v>172</v>
      </c>
      <c r="C36" s="17"/>
      <c r="D36" s="17" t="s">
        <v>27</v>
      </c>
      <c r="E36" s="23" t="s">
        <v>173</v>
      </c>
      <c r="F36" s="17" t="s">
        <v>129</v>
      </c>
      <c r="G36" s="17"/>
      <c r="H36" s="17"/>
      <c r="I36" s="17" t="s">
        <v>108</v>
      </c>
      <c r="J36" s="20">
        <v>1</v>
      </c>
      <c r="K36" s="20">
        <v>0.5</v>
      </c>
      <c r="L36" s="20">
        <v>0.5</v>
      </c>
    </row>
    <row r="37" spans="1:12" ht="15.85" customHeight="1" x14ac:dyDescent="0.3">
      <c r="A37" s="8" t="s">
        <v>59</v>
      </c>
      <c r="B37" s="33" t="s">
        <v>172</v>
      </c>
      <c r="C37" s="17"/>
      <c r="D37" s="17" t="s">
        <v>27</v>
      </c>
      <c r="E37" s="23" t="s">
        <v>132</v>
      </c>
      <c r="F37" s="17" t="s">
        <v>103</v>
      </c>
      <c r="G37" s="17"/>
      <c r="H37" s="17" t="s">
        <v>111</v>
      </c>
      <c r="I37" s="17" t="s">
        <v>108</v>
      </c>
      <c r="J37" s="20">
        <v>0.5</v>
      </c>
      <c r="K37" s="20">
        <v>0.5</v>
      </c>
      <c r="L37" s="20">
        <v>0.25</v>
      </c>
    </row>
    <row r="38" spans="1:12" ht="15.85" customHeight="1" x14ac:dyDescent="0.3">
      <c r="A38" s="8" t="s">
        <v>59</v>
      </c>
      <c r="B38" s="33" t="s">
        <v>172</v>
      </c>
      <c r="C38" s="17"/>
      <c r="D38" s="17" t="s">
        <v>58</v>
      </c>
      <c r="E38" s="23" t="s">
        <v>181</v>
      </c>
      <c r="F38" s="17" t="s">
        <v>120</v>
      </c>
      <c r="G38" s="17" t="s">
        <v>119</v>
      </c>
      <c r="H38" s="17"/>
      <c r="I38" s="17"/>
      <c r="J38" s="20">
        <v>0.5</v>
      </c>
      <c r="K38" s="20"/>
      <c r="L38" s="20">
        <v>0.5</v>
      </c>
    </row>
    <row r="39" spans="1:12" ht="15.85" customHeight="1" x14ac:dyDescent="0.3">
      <c r="A39" s="8" t="s">
        <v>59</v>
      </c>
      <c r="B39" s="33" t="s">
        <v>172</v>
      </c>
      <c r="C39" s="17"/>
      <c r="D39" s="17" t="s">
        <v>58</v>
      </c>
      <c r="E39" s="23" t="s">
        <v>181</v>
      </c>
      <c r="F39" s="17" t="s">
        <v>121</v>
      </c>
      <c r="G39" s="17" t="s">
        <v>105</v>
      </c>
      <c r="H39" s="17"/>
      <c r="I39" s="17"/>
      <c r="J39" s="20">
        <v>0.7</v>
      </c>
      <c r="K39" s="20"/>
      <c r="L39" s="20">
        <v>0.7</v>
      </c>
    </row>
    <row r="40" spans="1:12" ht="15.85" customHeight="1" x14ac:dyDescent="0.3">
      <c r="A40" s="8" t="s">
        <v>59</v>
      </c>
      <c r="B40" s="17" t="s">
        <v>86</v>
      </c>
      <c r="C40" s="17"/>
      <c r="D40" s="17" t="s">
        <v>58</v>
      </c>
      <c r="E40" s="23" t="s">
        <v>116</v>
      </c>
      <c r="F40" s="17" t="s">
        <v>120</v>
      </c>
      <c r="G40" s="17" t="s">
        <v>119</v>
      </c>
      <c r="H40" s="17"/>
      <c r="I40" s="17"/>
      <c r="J40" s="20">
        <v>0.5</v>
      </c>
      <c r="K40" s="20"/>
      <c r="L40" s="20">
        <v>0.5</v>
      </c>
    </row>
    <row r="41" spans="1:12" ht="15.85" customHeight="1" x14ac:dyDescent="0.3">
      <c r="A41" s="8" t="s">
        <v>59</v>
      </c>
      <c r="B41" s="33" t="s">
        <v>148</v>
      </c>
      <c r="C41" s="17"/>
      <c r="D41" s="17" t="s">
        <v>58</v>
      </c>
      <c r="E41" s="23" t="s">
        <v>116</v>
      </c>
      <c r="F41" s="17" t="s">
        <v>120</v>
      </c>
      <c r="G41" s="17" t="s">
        <v>105</v>
      </c>
      <c r="H41" s="17"/>
      <c r="I41" s="17"/>
      <c r="J41" s="20">
        <v>0.5</v>
      </c>
      <c r="K41" s="20"/>
      <c r="L41" s="20">
        <v>0.5</v>
      </c>
    </row>
    <row r="42" spans="1:12" ht="15.85" customHeight="1" x14ac:dyDescent="0.3">
      <c r="A42" s="8" t="s">
        <v>59</v>
      </c>
      <c r="B42" s="33" t="s">
        <v>163</v>
      </c>
      <c r="C42" s="17"/>
      <c r="D42" s="17" t="s">
        <v>25</v>
      </c>
      <c r="E42" s="23" t="s">
        <v>164</v>
      </c>
      <c r="F42" s="17" t="s">
        <v>137</v>
      </c>
      <c r="G42" s="17"/>
      <c r="H42" s="17" t="s">
        <v>114</v>
      </c>
      <c r="I42" s="17"/>
      <c r="J42" s="20">
        <v>3.5</v>
      </c>
      <c r="K42" s="20">
        <v>0.6</v>
      </c>
      <c r="L42" s="20">
        <f>K42*J42</f>
        <v>2.1</v>
      </c>
    </row>
  </sheetData>
  <autoFilter ref="A1:L42" xr:uid="{00000000-0001-0000-0800-000000000000}"/>
  <sortState xmlns:xlrd2="http://schemas.microsoft.com/office/spreadsheetml/2017/richdata2" ref="A2:L42">
    <sortCondition ref="B1:B42"/>
  </sortState>
  <phoneticPr fontId="7" type="noConversion"/>
  <conditionalFormatting sqref="C12">
    <cfRule type="duplicateValues" dxfId="0" priority="1"/>
  </conditionalFormatting>
  <dataValidations count="2">
    <dataValidation allowBlank="1" showInputMessage="1" showErrorMessage="1" sqref="D1:E1 E12 E4 E2 E36:E1048576" xr:uid="{00000000-0002-0000-0800-000000000000}"/>
    <dataValidation type="list" allowBlank="1" showInputMessage="1" showErrorMessage="1" sqref="B2 D2:D1048576" xr:uid="{00000000-0002-0000-0800-000001000000}">
      <formula1>"创新创业素质,水平考试,社会实践,社会工作能力（工作表现）"</formula1>
    </dataValidation>
  </dataValidations>
  <pageMargins left="0.75" right="0.75" top="1" bottom="1" header="0.5" footer="0.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woProps xmlns="https://web.wps.cn/et/2018/main" xmlns:s="http://schemas.openxmlformats.org/spreadsheetml/2006/main">
  <woSheetsProps>
    <woSheetProps sheetStid="1" interlineColor="0" isDbSheet="0" interlineOnOff="0" isDashBoardSheet="0">
      <cellprotection/>
    </woSheetProps>
  </woSheetsProps>
  <woBookProps>
    <bookSettings isInserPicAsAttachment="0" isAutoUpdatePaused="0" filterType="conn" coreConquerUserId="" isFilterShared="1" isMergeTasksAutoUpdate="0"/>
  </woBookProps>
</woProps>
</file>

<file path=customXml/item2.xml><?xml version="1.0" encoding="utf-8"?>
<pixelators xmlns="https://web.wps.cn/et/2018/main" xmlns:s="http://schemas.openxmlformats.org/spreadsheetml/2006/main">
  <pixelatorList sheetStid="1"/>
  <pixelatorList sheetStid="2"/>
</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8</vt:i4>
      </vt:variant>
    </vt:vector>
  </HeadingPairs>
  <TitlesOfParts>
    <vt:vector size="8" baseType="lpstr">
      <vt:lpstr>总分表</vt:lpstr>
      <vt:lpstr>计分表</vt:lpstr>
      <vt:lpstr>德育素质</vt:lpstr>
      <vt:lpstr>智育素质</vt:lpstr>
      <vt:lpstr>体育素质</vt:lpstr>
      <vt:lpstr>美育素质</vt:lpstr>
      <vt:lpstr>劳育素质</vt:lpstr>
      <vt:lpstr>创新与实践素质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64859</dc:creator>
  <cp:lastModifiedBy>若兮 胡</cp:lastModifiedBy>
  <dcterms:created xsi:type="dcterms:W3CDTF">2020-08-07T13:48:00Z</dcterms:created>
  <dcterms:modified xsi:type="dcterms:W3CDTF">2025-09-30T04:41:35Z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2052-6.4.0.8550</vt:lpwstr>
  </property>
  <property fmtid="{D5CDD505-2E9C-101B-9397-08002B2CF9AE}" pid="3" name="ICV">
    <vt:lpwstr>C1E38F50F7698EE2F9817968B3CACF44_43</vt:lpwstr>
  </property>
</Properties>
</file>