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040" windowHeight="10500" firstSheet="1" activeTab="3"/>
  </bookViews>
  <sheets>
    <sheet name="总分表" sheetId="4" r:id="rId1"/>
    <sheet name="计分表" sheetId="3" r:id="rId2"/>
    <sheet name="德育素质" sheetId="2" r:id="rId3"/>
    <sheet name="智育素质" sheetId="5" r:id="rId4"/>
    <sheet name="体育素质" sheetId="7" r:id="rId5"/>
    <sheet name="美育素质" sheetId="8" r:id="rId6"/>
    <sheet name="劳育素质" sheetId="10" r:id="rId7"/>
    <sheet name="创新与实践素质" sheetId="9" r:id="rId8"/>
  </sheets>
  <definedNames>
    <definedName name="_xlnm._FilterDatabase" localSheetId="0" hidden="1">总分表!$A$1:$F$58</definedName>
    <definedName name="_xlnm._FilterDatabase" localSheetId="3" hidden="1">智育素质!$A$1:$D$58</definedName>
    <definedName name="_xlnm._FilterDatabase" localSheetId="7" hidden="1">创新与实践素质!$A$1:$L$49</definedName>
    <definedName name="_xlnm._FilterDatabase" localSheetId="2" hidden="1">德育素质!$A$1:$H$77</definedName>
    <definedName name="_xlnm._FilterDatabase" localSheetId="1" hidden="1">计分表!$A$3:$AF$60</definedName>
    <definedName name="_xlnm._FilterDatabase" localSheetId="6" hidden="1">劳育素质!$A$1:$L$58</definedName>
    <definedName name="_xlnm._FilterDatabase" localSheetId="5" hidden="1">美育素质!$C:$C</definedName>
    <definedName name="_xlnm._FilterDatabase" localSheetId="4" hidden="1">体育素质!$A$1:$L$239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<sst xmlns="http://schemas.openxmlformats.org/spreadsheetml/2006/main" count="2592" uniqueCount="179">
  <si>
    <t>班级</t>
  </si>
  <si>
    <t>学号</t>
  </si>
  <si>
    <t>姓名</t>
  </si>
  <si>
    <t>总分</t>
  </si>
  <si>
    <t>综合测评分排名</t>
  </si>
  <si>
    <t>平均学分绩点排名</t>
  </si>
  <si>
    <t>2022数字媒体技术02</t>
  </si>
  <si>
    <t>202003151405</t>
  </si>
  <si>
    <t>202003151511</t>
  </si>
  <si>
    <t>2022数字媒体技术01</t>
  </si>
  <si>
    <t>202103150214</t>
  </si>
  <si>
    <t>202103150516</t>
  </si>
  <si>
    <t>202203150101</t>
  </si>
  <si>
    <t>202203150107</t>
  </si>
  <si>
    <t>202203150109</t>
  </si>
  <si>
    <t>202203150110</t>
  </si>
  <si>
    <t>202203150114</t>
  </si>
  <si>
    <t>202203150121</t>
  </si>
  <si>
    <t>202203150123</t>
  </si>
  <si>
    <t>202203150125</t>
  </si>
  <si>
    <t>202203150204</t>
  </si>
  <si>
    <t>202203150205</t>
  </si>
  <si>
    <t>202203150207</t>
  </si>
  <si>
    <t>202203150218</t>
  </si>
  <si>
    <t>202203150326</t>
  </si>
  <si>
    <t>202203150410</t>
  </si>
  <si>
    <t>202203150411</t>
  </si>
  <si>
    <t>202203150502</t>
  </si>
  <si>
    <t>202203150509</t>
  </si>
  <si>
    <t>202203150510</t>
  </si>
  <si>
    <t>202203150512</t>
  </si>
  <si>
    <t>202203150525</t>
  </si>
  <si>
    <t>202203150609</t>
  </si>
  <si>
    <t>202203150610</t>
  </si>
  <si>
    <t>202203150614</t>
  </si>
  <si>
    <t>202203150622</t>
  </si>
  <si>
    <t>202203150623</t>
  </si>
  <si>
    <t>202203150702</t>
  </si>
  <si>
    <t>202203150705</t>
  </si>
  <si>
    <t>202203150729</t>
  </si>
  <si>
    <t>202203150809</t>
  </si>
  <si>
    <t>202203150822</t>
  </si>
  <si>
    <t>202203150912</t>
  </si>
  <si>
    <t>202203150915</t>
  </si>
  <si>
    <t>202203150920</t>
  </si>
  <si>
    <t>202203150922</t>
  </si>
  <si>
    <t>202203151011</t>
  </si>
  <si>
    <t>202203151015</t>
  </si>
  <si>
    <t>202203151022</t>
  </si>
  <si>
    <t>202203151104</t>
  </si>
  <si>
    <t>202203151125</t>
  </si>
  <si>
    <t>202203151131</t>
  </si>
  <si>
    <t>202203151220</t>
  </si>
  <si>
    <t>202203151226</t>
  </si>
  <si>
    <t>202203151232</t>
  </si>
  <si>
    <t>202203151301</t>
  </si>
  <si>
    <t>202203151307</t>
  </si>
  <si>
    <t>202203151315</t>
  </si>
  <si>
    <t>202203151317</t>
  </si>
  <si>
    <t>202203151320</t>
  </si>
  <si>
    <t>202203160423</t>
  </si>
  <si>
    <t>202203250107</t>
  </si>
  <si>
    <t>202205070531</t>
  </si>
  <si>
    <t>202205490301</t>
  </si>
  <si>
    <t>202206010315</t>
  </si>
  <si>
    <t>德育素质分（10%）</t>
  </si>
  <si>
    <t>智育素质分(60%)</t>
  </si>
  <si>
    <t>体育素质（8%）</t>
  </si>
  <si>
    <t>美育素质（5%)</t>
  </si>
  <si>
    <t>劳育素质（5%）</t>
  </si>
  <si>
    <t>创新与实践素质（12%）</t>
  </si>
  <si>
    <t>综合测评总得分</t>
  </si>
  <si>
    <t>基本评定分项目
（满分：6分）</t>
  </si>
  <si>
    <t>记实加减分（满分：4分）</t>
  </si>
  <si>
    <t>德育素质总得分</t>
  </si>
  <si>
    <t>体育课程成绩
（满分：5分）</t>
  </si>
  <si>
    <t>课外体育活动成绩
（满分：3分）</t>
  </si>
  <si>
    <t>体育素质总得分</t>
  </si>
  <si>
    <t>文化艺术实践成绩
（满分：0.5分）</t>
  </si>
  <si>
    <t>校内外文化艺术活动</t>
  </si>
  <si>
    <t>美育素质总得分</t>
  </si>
  <si>
    <t>日常劳动</t>
  </si>
  <si>
    <t>志愿服务
（满分：4分）</t>
  </si>
  <si>
    <t>实习实训</t>
  </si>
  <si>
    <t>劳育素质总得分</t>
  </si>
  <si>
    <t>创新创业素质</t>
  </si>
  <si>
    <t>水平考试</t>
  </si>
  <si>
    <t>社会实践</t>
  </si>
  <si>
    <t>社会工作能力
（工作表现）</t>
  </si>
  <si>
    <t>创新与实践素质总得分</t>
  </si>
  <si>
    <t>集体评定等级分
（满分：2分）</t>
  </si>
  <si>
    <t>社会责任记实分
（满分：2分）</t>
  </si>
  <si>
    <t>违纪违规扣分</t>
  </si>
  <si>
    <t>荣誉称号加分</t>
  </si>
  <si>
    <t>校内外体育竞赛得分</t>
  </si>
  <si>
    <t>早锻炼总分</t>
  </si>
  <si>
    <t>校园跑总分</t>
  </si>
  <si>
    <t>AB类总分</t>
  </si>
  <si>
    <t>C类</t>
  </si>
  <si>
    <t>得分</t>
  </si>
  <si>
    <t>类别</t>
  </si>
  <si>
    <t>加减分条目</t>
  </si>
  <si>
    <t>等级</t>
  </si>
  <si>
    <t>学期</t>
  </si>
  <si>
    <t>分数</t>
  </si>
  <si>
    <t>基本评定分</t>
  </si>
  <si>
    <t>A</t>
  </si>
  <si>
    <t>下学期</t>
  </si>
  <si>
    <t>B</t>
  </si>
  <si>
    <t>星级志愿者</t>
  </si>
  <si>
    <t>院级</t>
  </si>
  <si>
    <t>社会责任记实分</t>
  </si>
  <si>
    <t>A类学生社团上学期团内通报表扬</t>
  </si>
  <si>
    <t>校级</t>
  </si>
  <si>
    <t>A类学生社团下学期团内通报表扬</t>
  </si>
  <si>
    <t>2024浙江工业大学首届师生节开幕式及“凛跑和山”微型马拉松</t>
  </si>
  <si>
    <t>我院2024级研究生迎新工作人员</t>
  </si>
  <si>
    <t>2024级本科生助理班主任</t>
  </si>
  <si>
    <t>2024级本科新生党员领航员</t>
  </si>
  <si>
    <t>集体评定等级分</t>
  </si>
  <si>
    <t>上学期</t>
  </si>
  <si>
    <t>平均学分绩点</t>
  </si>
  <si>
    <t>奖次</t>
  </si>
  <si>
    <t>顺位</t>
  </si>
  <si>
    <t>团体比例系数</t>
  </si>
  <si>
    <t>校内外体育竞赛</t>
  </si>
  <si>
    <t>浙江工业大学第35届运动会仰卧起坐女子团体</t>
  </si>
  <si>
    <t>第一名</t>
  </si>
  <si>
    <t>队员</t>
  </si>
  <si>
    <t>体育课程成绩</t>
  </si>
  <si>
    <t>体育成绩</t>
  </si>
  <si>
    <t>202103151208</t>
  </si>
  <si>
    <t>202203150233</t>
  </si>
  <si>
    <t>足球大院赛</t>
  </si>
  <si>
    <t>第七名</t>
  </si>
  <si>
    <t>校内外体育活动</t>
  </si>
  <si>
    <t>校园跑</t>
  </si>
  <si>
    <t>202203150406</t>
  </si>
  <si>
    <t>202206010123</t>
  </si>
  <si>
    <t>校内外文化艺术竞赛</t>
  </si>
  <si>
    <t>2024下半年分党校培训班优秀主题讨论作品评比</t>
  </si>
  <si>
    <t>二等奖</t>
  </si>
  <si>
    <t>队长</t>
  </si>
  <si>
    <t>2025上半年分党校培训班优秀主题讨论作品评比</t>
  </si>
  <si>
    <t>最美笔记</t>
  </si>
  <si>
    <t>三等奖</t>
  </si>
  <si>
    <t>简历模拟大赛</t>
  </si>
  <si>
    <t>一等奖</t>
  </si>
  <si>
    <t>302023334031</t>
  </si>
  <si>
    <t>劳动日常考核基础分</t>
  </si>
  <si>
    <t>志愿服务</t>
  </si>
  <si>
    <t>A类+B类</t>
  </si>
  <si>
    <t>中国机器人大赛</t>
  </si>
  <si>
    <t>国家级</t>
  </si>
  <si>
    <t>普通话水平测试</t>
  </si>
  <si>
    <t>2024年CCPC中国大学生程序设计竞赛国赛济南站</t>
  </si>
  <si>
    <t>2024年ICPC国际大学生程序设计竞赛沈阳站</t>
  </si>
  <si>
    <t>浙江工业大学第二十二届大学生程序设计竞赛</t>
  </si>
  <si>
    <t>2025年程序设计天梯赛</t>
  </si>
  <si>
    <t>2024年全国大学生数学建模竞赛浙江赛区</t>
  </si>
  <si>
    <t>省级</t>
  </si>
  <si>
    <t>浙江省第二十二届大学生程序设计竞赛</t>
  </si>
  <si>
    <t>全国大学英语六级考试</t>
  </si>
  <si>
    <t>社会工作能力（工作表现）</t>
  </si>
  <si>
    <t>团支书</t>
  </si>
  <si>
    <t>班长</t>
  </si>
  <si>
    <t>学习委员</t>
  </si>
  <si>
    <t>文体委员</t>
  </si>
  <si>
    <t>宣调委员</t>
  </si>
  <si>
    <t>生活委员</t>
  </si>
  <si>
    <t>心理委员</t>
  </si>
  <si>
    <t>软件著作</t>
  </si>
  <si>
    <t>2024浙江工业大学双百双进暑期社会实践优秀调研报告</t>
  </si>
  <si>
    <t>本科数字媒体党支部书记+班长</t>
  </si>
  <si>
    <t>B+B</t>
  </si>
  <si>
    <t>本科数字媒体党支部组织委员</t>
  </si>
  <si>
    <t>本科数字媒体党支部纪检委员</t>
  </si>
  <si>
    <t>本科数字媒体党支部宣传委员</t>
  </si>
  <si>
    <t>A+A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</si>
</sst>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25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1"/>
      <color theme="1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7" applyNumberFormat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>
      <alignment vertical="center"/>
    </xf>
    <xf numFmtId="0" fontId="24" fillId="0" borderId="0"/>
    <xf numFmtId="0" fontId="24" fillId="0" borderId="0"/>
  </cellStyleXfs>
  <cellXfs count="3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49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77" fontId="1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177" fontId="3" fillId="0" borderId="1" xfId="50" applyNumberFormat="1" applyFont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5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5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3" xfId="5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1" xfId="5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0" fillId="0" borderId="1" xfId="0" applyNumberFormat="1" applyBorder="1" applyAlignment="1" quotePrefix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3" xfId="49"/>
    <cellStyle name="常规_Sheet1" xfId="50"/>
    <cellStyle name="常规_计科1101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customXml" Target="../customXml/item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tyles" Target="styles.xml"/><Relationship Id="rId13" Type="http://schemas.openxmlformats.org/officeDocument/2006/relationships/sharedStrings" Target="sharedStrings.xml"/><Relationship Id="rId12" Type="http://schemas.openxmlformats.org/officeDocument/2006/relationships/theme" Target="theme/theme1.xml"/><Relationship Id="rId11" Type="http://www.wps.cn/officeDocument/2021/sharedlinks" Target="sharedlinks.xml"/><Relationship Id="rId10" Type="http://schemas.openxmlformats.org/officeDocument/2006/relationships/customXml" Target="../customXml/item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8"/>
  <sheetViews>
    <sheetView zoomScale="103" zoomScaleNormal="103" workbookViewId="0">
      <pane xSplit="2" ySplit="1" topLeftCell="C2" activePane="bottomRight" state="frozen"/>
      <selection/>
      <selection pane="topRight"/>
      <selection pane="bottomLeft"/>
      <selection pane="bottomRight" activeCell="K24" sqref="K24"/>
    </sheetView>
  </sheetViews>
  <sheetFormatPr defaultColWidth="9.2037037037037" defaultRowHeight="14.4" outlineLevelCol="5"/>
  <cols>
    <col min="1" max="1" width="19.6018518518519" customWidth="1"/>
    <col min="2" max="2" width="14.1296296296296" customWidth="1"/>
    <col min="3" max="3" width="11.3333333333333" customWidth="1"/>
    <col min="4" max="4" width="9" customWidth="1"/>
    <col min="5" max="5" width="23.462962962963" customWidth="1"/>
    <col min="6" max="6" width="18.0648148148148" customWidth="1"/>
  </cols>
  <sheetData>
    <row r="1" spans="1:6">
      <c r="A1" s="4" t="s">
        <v>0</v>
      </c>
      <c r="B1" s="4" t="s">
        <v>1</v>
      </c>
      <c r="C1" s="5" t="s">
        <v>2</v>
      </c>
      <c r="D1" s="4" t="s">
        <v>3</v>
      </c>
      <c r="E1" s="4" t="s">
        <v>4</v>
      </c>
      <c r="F1" s="4" t="s">
        <v>5</v>
      </c>
    </row>
    <row r="2" spans="1:6">
      <c r="A2" s="4" t="s">
        <v>6</v>
      </c>
      <c r="B2" s="4" t="s">
        <v>7</v>
      </c>
      <c r="C2" s="4"/>
      <c r="D2" s="6">
        <f>VLOOKUP(B2,计分表!B:AF,31,0)</f>
        <v>46.3326666666667</v>
      </c>
      <c r="E2" s="4">
        <f t="shared" ref="E2:E58" si="0">_xlfn.RANK.EQ(D2,D$2:D$58)</f>
        <v>54</v>
      </c>
      <c r="F2" s="4">
        <v>53</v>
      </c>
    </row>
    <row r="3" spans="1:6">
      <c r="A3" s="4" t="s">
        <v>6</v>
      </c>
      <c r="B3" s="4" t="s">
        <v>8</v>
      </c>
      <c r="C3" s="4"/>
      <c r="D3" s="6">
        <f>VLOOKUP(B3,计分表!B:AF,31,0)</f>
        <v>52.3778125</v>
      </c>
      <c r="E3" s="4">
        <f t="shared" si="0"/>
        <v>49</v>
      </c>
      <c r="F3" s="4">
        <v>48</v>
      </c>
    </row>
    <row r="4" spans="1:6">
      <c r="A4" s="4" t="s">
        <v>9</v>
      </c>
      <c r="B4" s="4" t="s">
        <v>10</v>
      </c>
      <c r="C4" s="4"/>
      <c r="D4" s="6">
        <f>VLOOKUP(B4,计分表!B:AF,31,0)</f>
        <v>59.1170069444444</v>
      </c>
      <c r="E4" s="4">
        <f t="shared" si="0"/>
        <v>32</v>
      </c>
      <c r="F4" s="4">
        <v>31</v>
      </c>
    </row>
    <row r="5" spans="1:6">
      <c r="A5" s="4" t="s">
        <v>6</v>
      </c>
      <c r="B5" s="4" t="s">
        <v>11</v>
      </c>
      <c r="C5" s="4"/>
      <c r="D5" s="6">
        <f>VLOOKUP(B5,计分表!B:AF,31,0)</f>
        <v>40.9830952380952</v>
      </c>
      <c r="E5" s="4">
        <f t="shared" si="0"/>
        <v>57</v>
      </c>
      <c r="F5" s="4">
        <v>56</v>
      </c>
    </row>
    <row r="6" spans="1:6">
      <c r="A6" s="4" t="s">
        <v>9</v>
      </c>
      <c r="B6" s="4" t="s">
        <v>12</v>
      </c>
      <c r="C6" s="4"/>
      <c r="D6" s="6">
        <f>VLOOKUP(B6,计分表!B:AF,31,0)</f>
        <v>62.2181458333333</v>
      </c>
      <c r="E6" s="4">
        <f t="shared" si="0"/>
        <v>16</v>
      </c>
      <c r="F6" s="4">
        <v>13</v>
      </c>
    </row>
    <row r="7" spans="1:6">
      <c r="A7" s="4" t="s">
        <v>9</v>
      </c>
      <c r="B7" s="4" t="s">
        <v>13</v>
      </c>
      <c r="C7" s="4"/>
      <c r="D7" s="6">
        <f>VLOOKUP(B7,计分表!B:AF,31,0)</f>
        <v>73.5780833333333</v>
      </c>
      <c r="E7" s="4">
        <f t="shared" si="0"/>
        <v>2</v>
      </c>
      <c r="F7" s="4">
        <v>3</v>
      </c>
    </row>
    <row r="8" spans="1:6">
      <c r="A8" s="4" t="s">
        <v>9</v>
      </c>
      <c r="B8" s="4" t="s">
        <v>14</v>
      </c>
      <c r="C8" s="4"/>
      <c r="D8" s="6">
        <f>VLOOKUP(B8,计分表!B:AF,31,0)</f>
        <v>55.819</v>
      </c>
      <c r="E8" s="4">
        <f t="shared" si="0"/>
        <v>42</v>
      </c>
      <c r="F8" s="4">
        <v>41</v>
      </c>
    </row>
    <row r="9" spans="1:6">
      <c r="A9" s="4" t="s">
        <v>9</v>
      </c>
      <c r="B9" s="4" t="s">
        <v>15</v>
      </c>
      <c r="C9" s="4"/>
      <c r="D9" s="6">
        <f>VLOOKUP(B9,计分表!B:AF,31,0)</f>
        <v>57.674</v>
      </c>
      <c r="E9" s="4">
        <f t="shared" si="0"/>
        <v>38</v>
      </c>
      <c r="F9" s="4">
        <v>21</v>
      </c>
    </row>
    <row r="10" spans="1:6">
      <c r="A10" s="4" t="s">
        <v>9</v>
      </c>
      <c r="B10" s="4" t="s">
        <v>16</v>
      </c>
      <c r="C10" s="4"/>
      <c r="D10" s="6">
        <f>VLOOKUP(B10,计分表!B:AF,31,0)</f>
        <v>61.1040208333333</v>
      </c>
      <c r="E10" s="4">
        <f t="shared" si="0"/>
        <v>20</v>
      </c>
      <c r="F10" s="4">
        <v>24</v>
      </c>
    </row>
    <row r="11" spans="1:6">
      <c r="A11" s="4" t="s">
        <v>9</v>
      </c>
      <c r="B11" s="4" t="s">
        <v>17</v>
      </c>
      <c r="C11" s="4"/>
      <c r="D11" s="6">
        <f>VLOOKUP(B11,计分表!B:AF,31,0)</f>
        <v>68.6710833333333</v>
      </c>
      <c r="E11" s="4">
        <f t="shared" si="0"/>
        <v>5</v>
      </c>
      <c r="F11" s="4">
        <v>6</v>
      </c>
    </row>
    <row r="12" spans="1:6">
      <c r="A12" s="4" t="s">
        <v>9</v>
      </c>
      <c r="B12" s="4" t="s">
        <v>18</v>
      </c>
      <c r="C12" s="4"/>
      <c r="D12" s="6">
        <f>VLOOKUP(B12,计分表!B:AF,31,0)</f>
        <v>49.944</v>
      </c>
      <c r="E12" s="4">
        <f t="shared" si="0"/>
        <v>52</v>
      </c>
      <c r="F12" s="4">
        <v>52</v>
      </c>
    </row>
    <row r="13" spans="1:6">
      <c r="A13" s="4" t="s">
        <v>9</v>
      </c>
      <c r="B13" s="4" t="s">
        <v>19</v>
      </c>
      <c r="C13" s="4"/>
      <c r="D13" s="6">
        <f>VLOOKUP(B13,计分表!B:AF,31,0)</f>
        <v>63.367</v>
      </c>
      <c r="E13" s="4">
        <f t="shared" si="0"/>
        <v>13</v>
      </c>
      <c r="F13" s="4">
        <v>15</v>
      </c>
    </row>
    <row r="14" spans="1:6">
      <c r="A14" s="4" t="s">
        <v>9</v>
      </c>
      <c r="B14" s="4" t="s">
        <v>20</v>
      </c>
      <c r="C14" s="4"/>
      <c r="D14" s="6">
        <f>VLOOKUP(B14,计分表!B:AF,31,0)</f>
        <v>60.2165</v>
      </c>
      <c r="E14" s="4">
        <f t="shared" si="0"/>
        <v>23</v>
      </c>
      <c r="F14" s="4">
        <v>19</v>
      </c>
    </row>
    <row r="15" spans="1:6">
      <c r="A15" s="4" t="s">
        <v>9</v>
      </c>
      <c r="B15" s="4" t="s">
        <v>21</v>
      </c>
      <c r="C15" s="4"/>
      <c r="D15" s="6">
        <f>VLOOKUP(B15,计分表!B:AF,31,0)</f>
        <v>58.0706845238095</v>
      </c>
      <c r="E15" s="4">
        <f t="shared" si="0"/>
        <v>35</v>
      </c>
      <c r="F15" s="4">
        <v>33</v>
      </c>
    </row>
    <row r="16" spans="1:6">
      <c r="A16" s="4" t="s">
        <v>9</v>
      </c>
      <c r="B16" s="4" t="s">
        <v>22</v>
      </c>
      <c r="C16" s="4"/>
      <c r="D16" s="6">
        <f>VLOOKUP(B16,计分表!B:AF,31,0)</f>
        <v>55.4363333333333</v>
      </c>
      <c r="E16" s="4">
        <f t="shared" si="0"/>
        <v>43</v>
      </c>
      <c r="F16" s="4">
        <v>44</v>
      </c>
    </row>
    <row r="17" spans="1:6">
      <c r="A17" s="4" t="s">
        <v>9</v>
      </c>
      <c r="B17" s="4" t="s">
        <v>23</v>
      </c>
      <c r="C17" s="4"/>
      <c r="D17" s="6">
        <f>VLOOKUP(B17,计分表!B:AF,31,0)</f>
        <v>54.9052958333333</v>
      </c>
      <c r="E17" s="4">
        <f t="shared" si="0"/>
        <v>45</v>
      </c>
      <c r="F17" s="4">
        <v>46</v>
      </c>
    </row>
    <row r="18" spans="1:6">
      <c r="A18" s="4" t="s">
        <v>9</v>
      </c>
      <c r="B18" s="4" t="s">
        <v>24</v>
      </c>
      <c r="C18" s="4"/>
      <c r="D18" s="6">
        <f>VLOOKUP(B18,计分表!B:AF,31,0)</f>
        <v>59.7276666666667</v>
      </c>
      <c r="E18" s="4">
        <f t="shared" si="0"/>
        <v>30</v>
      </c>
      <c r="F18" s="4">
        <v>37</v>
      </c>
    </row>
    <row r="19" spans="1:6">
      <c r="A19" s="4" t="s">
        <v>9</v>
      </c>
      <c r="B19" s="4" t="s">
        <v>25</v>
      </c>
      <c r="C19" s="4"/>
      <c r="D19" s="6">
        <f>VLOOKUP(B19,计分表!B:AF,31,0)</f>
        <v>56.8952333333333</v>
      </c>
      <c r="E19" s="4">
        <f t="shared" si="0"/>
        <v>39</v>
      </c>
      <c r="F19" s="4">
        <v>35</v>
      </c>
    </row>
    <row r="20" spans="1:6">
      <c r="A20" s="4" t="s">
        <v>9</v>
      </c>
      <c r="B20" s="4" t="s">
        <v>26</v>
      </c>
      <c r="C20" s="4"/>
      <c r="D20" s="6">
        <f>VLOOKUP(B20,计分表!B:AF,31,0)</f>
        <v>51.9831666666667</v>
      </c>
      <c r="E20" s="4">
        <f t="shared" si="0"/>
        <v>50</v>
      </c>
      <c r="F20" s="4">
        <v>50</v>
      </c>
    </row>
    <row r="21" spans="1:6">
      <c r="A21" s="4" t="s">
        <v>9</v>
      </c>
      <c r="B21" s="4" t="s">
        <v>27</v>
      </c>
      <c r="C21" s="4"/>
      <c r="D21" s="6">
        <f>VLOOKUP(B21,计分表!B:AF,31,0)</f>
        <v>71.5246666666667</v>
      </c>
      <c r="E21" s="4">
        <f t="shared" si="0"/>
        <v>3</v>
      </c>
      <c r="F21" s="4">
        <v>4</v>
      </c>
    </row>
    <row r="22" spans="1:6">
      <c r="A22" s="4" t="s">
        <v>9</v>
      </c>
      <c r="B22" s="4" t="s">
        <v>28</v>
      </c>
      <c r="C22" s="4"/>
      <c r="D22" s="6">
        <f>VLOOKUP(B22,计分表!B:AF,31,0)</f>
        <v>55.991</v>
      </c>
      <c r="E22" s="4">
        <f t="shared" si="0"/>
        <v>41</v>
      </c>
      <c r="F22" s="4">
        <v>43</v>
      </c>
    </row>
    <row r="23" spans="1:6">
      <c r="A23" s="4" t="s">
        <v>9</v>
      </c>
      <c r="B23" s="4" t="s">
        <v>29</v>
      </c>
      <c r="C23" s="4"/>
      <c r="D23" s="6">
        <f>VLOOKUP(B23,计分表!B:AF,31,0)</f>
        <v>44.076</v>
      </c>
      <c r="E23" s="4">
        <f t="shared" si="0"/>
        <v>56</v>
      </c>
      <c r="F23" s="4">
        <v>57</v>
      </c>
    </row>
    <row r="24" spans="1:6">
      <c r="A24" s="4" t="s">
        <v>9</v>
      </c>
      <c r="B24" s="4" t="s">
        <v>30</v>
      </c>
      <c r="C24" s="4"/>
      <c r="D24" s="6">
        <f>VLOOKUP(B24,计分表!B:AF,31,0)</f>
        <v>67.6144291666667</v>
      </c>
      <c r="E24" s="4">
        <f t="shared" si="0"/>
        <v>7</v>
      </c>
      <c r="F24" s="4">
        <v>8</v>
      </c>
    </row>
    <row r="25" spans="1:6">
      <c r="A25" s="4" t="s">
        <v>9</v>
      </c>
      <c r="B25" s="4" t="s">
        <v>31</v>
      </c>
      <c r="C25" s="4"/>
      <c r="D25" s="6">
        <f>VLOOKUP(B25,计分表!B:AF,31,0)</f>
        <v>51.0308333333333</v>
      </c>
      <c r="E25" s="4">
        <f t="shared" si="0"/>
        <v>51</v>
      </c>
      <c r="F25" s="4">
        <v>51</v>
      </c>
    </row>
    <row r="26" spans="1:6">
      <c r="A26" s="4" t="s">
        <v>9</v>
      </c>
      <c r="B26" s="4" t="s">
        <v>32</v>
      </c>
      <c r="C26" s="4"/>
      <c r="D26" s="6">
        <f>VLOOKUP(B26,计分表!B:AF,31,0)</f>
        <v>53.6898</v>
      </c>
      <c r="E26" s="4">
        <f t="shared" si="0"/>
        <v>47</v>
      </c>
      <c r="F26" s="4">
        <v>47</v>
      </c>
    </row>
    <row r="27" spans="1:6">
      <c r="A27" s="4" t="s">
        <v>9</v>
      </c>
      <c r="B27" s="4" t="s">
        <v>33</v>
      </c>
      <c r="C27" s="4"/>
      <c r="D27" s="6">
        <f>VLOOKUP(B27,计分表!B:AF,31,0)</f>
        <v>60.028</v>
      </c>
      <c r="E27" s="4">
        <f t="shared" si="0"/>
        <v>26</v>
      </c>
      <c r="F27" s="4">
        <v>39</v>
      </c>
    </row>
    <row r="28" spans="1:6">
      <c r="A28" s="4" t="s">
        <v>9</v>
      </c>
      <c r="B28" s="4" t="s">
        <v>34</v>
      </c>
      <c r="C28" s="4"/>
      <c r="D28" s="6">
        <f>VLOOKUP(B28,计分表!B:AF,31,0)</f>
        <v>70.2985158730159</v>
      </c>
      <c r="E28" s="4">
        <f t="shared" si="0"/>
        <v>4</v>
      </c>
      <c r="F28" s="4">
        <v>1</v>
      </c>
    </row>
    <row r="29" spans="1:6">
      <c r="A29" s="4" t="s">
        <v>9</v>
      </c>
      <c r="B29" s="4" t="s">
        <v>35</v>
      </c>
      <c r="C29" s="4"/>
      <c r="D29" s="6">
        <f>VLOOKUP(B29,计分表!B:AF,31,0)</f>
        <v>61.4896875</v>
      </c>
      <c r="E29" s="4">
        <f t="shared" si="0"/>
        <v>19</v>
      </c>
      <c r="F29" s="4">
        <v>15</v>
      </c>
    </row>
    <row r="30" spans="1:6">
      <c r="A30" s="4" t="s">
        <v>6</v>
      </c>
      <c r="B30" s="4" t="s">
        <v>36</v>
      </c>
      <c r="C30" s="4"/>
      <c r="D30" s="6">
        <f>VLOOKUP(B30,计分表!B:AF,31,0)</f>
        <v>58.5716666666667</v>
      </c>
      <c r="E30" s="4">
        <f t="shared" si="0"/>
        <v>34</v>
      </c>
      <c r="F30" s="4">
        <v>28</v>
      </c>
    </row>
    <row r="31" spans="1:6">
      <c r="A31" s="4" t="s">
        <v>6</v>
      </c>
      <c r="B31" s="4" t="s">
        <v>37</v>
      </c>
      <c r="C31" s="4"/>
      <c r="D31" s="6">
        <f>VLOOKUP(B31,计分表!B:AF,31,0)</f>
        <v>59.25</v>
      </c>
      <c r="E31" s="4">
        <f t="shared" si="0"/>
        <v>31</v>
      </c>
      <c r="F31" s="4">
        <v>20</v>
      </c>
    </row>
    <row r="32" spans="1:6">
      <c r="A32" s="4" t="s">
        <v>9</v>
      </c>
      <c r="B32" s="4" t="s">
        <v>38</v>
      </c>
      <c r="C32" s="4"/>
      <c r="D32" s="6">
        <f>VLOOKUP(B32,计分表!B:AF,31,0)</f>
        <v>66.2741333333333</v>
      </c>
      <c r="E32" s="4">
        <f t="shared" si="0"/>
        <v>10</v>
      </c>
      <c r="F32" s="4">
        <v>5</v>
      </c>
    </row>
    <row r="33" spans="1:6">
      <c r="A33" s="4" t="s">
        <v>6</v>
      </c>
      <c r="B33" s="4" t="s">
        <v>39</v>
      </c>
      <c r="C33" s="4"/>
      <c r="D33" s="6">
        <f>VLOOKUP(B33,计分表!B:AF,31,0)</f>
        <v>60.4920020833333</v>
      </c>
      <c r="E33" s="4">
        <f t="shared" si="0"/>
        <v>21</v>
      </c>
      <c r="F33" s="4">
        <v>18</v>
      </c>
    </row>
    <row r="34" spans="1:6">
      <c r="A34" s="4" t="s">
        <v>6</v>
      </c>
      <c r="B34" s="4" t="s">
        <v>40</v>
      </c>
      <c r="C34" s="4"/>
      <c r="D34" s="6">
        <f>VLOOKUP(B34,计分表!B:AF,31,0)</f>
        <v>45.5298</v>
      </c>
      <c r="E34" s="4">
        <f t="shared" si="0"/>
        <v>55</v>
      </c>
      <c r="F34" s="4">
        <v>55</v>
      </c>
    </row>
    <row r="35" spans="1:6">
      <c r="A35" s="4" t="s">
        <v>6</v>
      </c>
      <c r="B35" s="4" t="s">
        <v>41</v>
      </c>
      <c r="C35" s="4"/>
      <c r="D35" s="6">
        <f>VLOOKUP(B35,计分表!B:AF,31,0)</f>
        <v>60.1722</v>
      </c>
      <c r="E35" s="4">
        <f t="shared" si="0"/>
        <v>24</v>
      </c>
      <c r="F35" s="4">
        <v>29</v>
      </c>
    </row>
    <row r="36" spans="1:6">
      <c r="A36" s="4" t="s">
        <v>6</v>
      </c>
      <c r="B36" s="4" t="s">
        <v>42</v>
      </c>
      <c r="C36" s="4"/>
      <c r="D36" s="6">
        <f>VLOOKUP(B36,计分表!B:AF,31,0)</f>
        <v>59.7587</v>
      </c>
      <c r="E36" s="4">
        <f t="shared" si="0"/>
        <v>29</v>
      </c>
      <c r="F36" s="4">
        <v>25</v>
      </c>
    </row>
    <row r="37" spans="1:6">
      <c r="A37" s="4" t="s">
        <v>6</v>
      </c>
      <c r="B37" s="4" t="s">
        <v>43</v>
      </c>
      <c r="C37" s="4"/>
      <c r="D37" s="6">
        <f>VLOOKUP(B37,计分表!B:AF,31,0)</f>
        <v>63.2526</v>
      </c>
      <c r="E37" s="4">
        <f t="shared" si="0"/>
        <v>14</v>
      </c>
      <c r="F37" s="4">
        <v>10</v>
      </c>
    </row>
    <row r="38" spans="1:6">
      <c r="A38" s="4" t="s">
        <v>6</v>
      </c>
      <c r="B38" s="4" t="s">
        <v>44</v>
      </c>
      <c r="C38" s="4"/>
      <c r="D38" s="6">
        <f>VLOOKUP(B38,计分表!B:AF,31,0)</f>
        <v>61.5435158730159</v>
      </c>
      <c r="E38" s="4">
        <f t="shared" si="0"/>
        <v>18</v>
      </c>
      <c r="F38" s="4">
        <v>34</v>
      </c>
    </row>
    <row r="39" spans="1:6">
      <c r="A39" s="4" t="s">
        <v>6</v>
      </c>
      <c r="B39" s="4" t="s">
        <v>45</v>
      </c>
      <c r="C39" s="4"/>
      <c r="D39" s="6">
        <f>VLOOKUP(B39,计分表!B:AF,31,0)</f>
        <v>63.0098333333333</v>
      </c>
      <c r="E39" s="4">
        <f t="shared" si="0"/>
        <v>15</v>
      </c>
      <c r="F39" s="4">
        <v>7</v>
      </c>
    </row>
    <row r="40" spans="1:6">
      <c r="A40" s="4" t="s">
        <v>6</v>
      </c>
      <c r="B40" s="4" t="s">
        <v>46</v>
      </c>
      <c r="C40" s="4"/>
      <c r="D40" s="6">
        <f>VLOOKUP(B40,计分表!B:AF,31,0)</f>
        <v>66.2652</v>
      </c>
      <c r="E40" s="4">
        <f t="shared" si="0"/>
        <v>11</v>
      </c>
      <c r="F40" s="4">
        <v>12</v>
      </c>
    </row>
    <row r="41" spans="1:6">
      <c r="A41" s="4" t="s">
        <v>6</v>
      </c>
      <c r="B41" s="4" t="s">
        <v>47</v>
      </c>
      <c r="C41" s="4"/>
      <c r="D41" s="6">
        <f>VLOOKUP(B41,计分表!B:AF,31,0)</f>
        <v>66.3112</v>
      </c>
      <c r="E41" s="4">
        <f t="shared" si="0"/>
        <v>9</v>
      </c>
      <c r="F41" s="4">
        <v>22</v>
      </c>
    </row>
    <row r="42" spans="1:6">
      <c r="A42" s="4" t="s">
        <v>6</v>
      </c>
      <c r="B42" s="4" t="s">
        <v>48</v>
      </c>
      <c r="C42" s="4"/>
      <c r="D42" s="6">
        <f>VLOOKUP(B42,计分表!B:AF,31,0)</f>
        <v>66.4361979166667</v>
      </c>
      <c r="E42" s="4">
        <f t="shared" si="0"/>
        <v>8</v>
      </c>
      <c r="F42" s="4">
        <v>2</v>
      </c>
    </row>
    <row r="43" spans="1:6">
      <c r="A43" s="4" t="s">
        <v>6</v>
      </c>
      <c r="B43" s="4" t="s">
        <v>49</v>
      </c>
      <c r="C43" s="4"/>
      <c r="D43" s="6">
        <f>VLOOKUP(B43,计分表!B:AF,31,0)</f>
        <v>63.8695833333333</v>
      </c>
      <c r="E43" s="4">
        <f t="shared" si="0"/>
        <v>12</v>
      </c>
      <c r="F43" s="4">
        <v>11</v>
      </c>
    </row>
    <row r="44" spans="1:6">
      <c r="A44" s="4" t="s">
        <v>6</v>
      </c>
      <c r="B44" s="4" t="s">
        <v>50</v>
      </c>
      <c r="C44" s="4"/>
      <c r="D44" s="6">
        <f>VLOOKUP(B44,计分表!B:AF,31,0)</f>
        <v>57.774</v>
      </c>
      <c r="E44" s="4">
        <f t="shared" si="0"/>
        <v>36</v>
      </c>
      <c r="F44" s="4">
        <v>38</v>
      </c>
    </row>
    <row r="45" spans="1:6">
      <c r="A45" s="4" t="s">
        <v>6</v>
      </c>
      <c r="B45" s="4" t="s">
        <v>51</v>
      </c>
      <c r="C45" s="4"/>
      <c r="D45" s="6">
        <f>VLOOKUP(B45,计分表!B:AF,31,0)</f>
        <v>56.3991666666667</v>
      </c>
      <c r="E45" s="4">
        <f t="shared" si="0"/>
        <v>40</v>
      </c>
      <c r="F45" s="4">
        <v>42</v>
      </c>
    </row>
    <row r="46" spans="1:6">
      <c r="A46" s="4" t="s">
        <v>6</v>
      </c>
      <c r="B46" s="4" t="s">
        <v>52</v>
      </c>
      <c r="C46" s="4"/>
      <c r="D46" s="6">
        <f>VLOOKUP(B46,计分表!B:AF,31,0)</f>
        <v>68.0526</v>
      </c>
      <c r="E46" s="4">
        <f t="shared" si="0"/>
        <v>6</v>
      </c>
      <c r="F46" s="4">
        <v>9</v>
      </c>
    </row>
    <row r="47" spans="1:6">
      <c r="A47" s="4" t="s">
        <v>6</v>
      </c>
      <c r="B47" s="4" t="s">
        <v>53</v>
      </c>
      <c r="C47" s="4"/>
      <c r="D47" s="6">
        <f>VLOOKUP(B47,计分表!B:AF,31,0)</f>
        <v>53.3176666666667</v>
      </c>
      <c r="E47" s="4">
        <f t="shared" si="0"/>
        <v>48</v>
      </c>
      <c r="F47" s="4">
        <v>49</v>
      </c>
    </row>
    <row r="48" spans="1:6">
      <c r="A48" s="4" t="s">
        <v>6</v>
      </c>
      <c r="B48" s="4" t="s">
        <v>54</v>
      </c>
      <c r="C48" s="4"/>
      <c r="D48" s="6">
        <f>VLOOKUP(B48,计分表!B:AF,31,0)</f>
        <v>59.7624666666667</v>
      </c>
      <c r="E48" s="4">
        <f t="shared" si="0"/>
        <v>28</v>
      </c>
      <c r="F48" s="4">
        <v>30</v>
      </c>
    </row>
    <row r="49" spans="1:6">
      <c r="A49" s="4" t="s">
        <v>6</v>
      </c>
      <c r="B49" s="4" t="s">
        <v>55</v>
      </c>
      <c r="C49" s="4"/>
      <c r="D49" s="6">
        <f>VLOOKUP(B49,计分表!B:AF,31,0)</f>
        <v>54.5746</v>
      </c>
      <c r="E49" s="4">
        <f t="shared" si="0"/>
        <v>46</v>
      </c>
      <c r="F49" s="4">
        <v>45</v>
      </c>
    </row>
    <row r="50" spans="1:6">
      <c r="A50" s="4" t="s">
        <v>6</v>
      </c>
      <c r="B50" s="4" t="s">
        <v>56</v>
      </c>
      <c r="C50" s="4"/>
      <c r="D50" s="6">
        <f>VLOOKUP(B50,计分表!B:AF,31,0)</f>
        <v>61.612</v>
      </c>
      <c r="E50" s="4">
        <f t="shared" si="0"/>
        <v>17</v>
      </c>
      <c r="F50" s="4">
        <v>23</v>
      </c>
    </row>
    <row r="51" spans="1:6">
      <c r="A51" s="4" t="s">
        <v>6</v>
      </c>
      <c r="B51" s="4" t="s">
        <v>57</v>
      </c>
      <c r="C51" s="4"/>
      <c r="D51" s="6">
        <f>VLOOKUP(B51,计分表!B:AF,31,0)</f>
        <v>58.8264583333333</v>
      </c>
      <c r="E51" s="4">
        <f t="shared" si="0"/>
        <v>33</v>
      </c>
      <c r="F51" s="4">
        <v>40</v>
      </c>
    </row>
    <row r="52" spans="1:6">
      <c r="A52" s="4" t="s">
        <v>6</v>
      </c>
      <c r="B52" s="4" t="s">
        <v>58</v>
      </c>
      <c r="C52" s="4"/>
      <c r="D52" s="6">
        <f>VLOOKUP(B52,计分表!B:AF,31,0)</f>
        <v>57.7163333333333</v>
      </c>
      <c r="E52" s="4">
        <f t="shared" si="0"/>
        <v>37</v>
      </c>
      <c r="F52" s="4">
        <v>32</v>
      </c>
    </row>
    <row r="53" spans="1:6">
      <c r="A53" s="4" t="s">
        <v>6</v>
      </c>
      <c r="B53" s="4" t="s">
        <v>59</v>
      </c>
      <c r="C53" s="4"/>
      <c r="D53" s="6">
        <f>VLOOKUP(B53,计分表!B:AF,31,0)</f>
        <v>60.129</v>
      </c>
      <c r="E53" s="4">
        <f t="shared" si="0"/>
        <v>25</v>
      </c>
      <c r="F53" s="4">
        <v>36</v>
      </c>
    </row>
    <row r="54" spans="1:6">
      <c r="A54" s="4" t="s">
        <v>9</v>
      </c>
      <c r="B54" s="4" t="s">
        <v>60</v>
      </c>
      <c r="C54" s="4"/>
      <c r="D54" s="6">
        <f>VLOOKUP(B54,计分表!B:AF,31,0)</f>
        <v>59.9949523809524</v>
      </c>
      <c r="E54" s="4">
        <f t="shared" si="0"/>
        <v>27</v>
      </c>
      <c r="F54" s="4">
        <v>17</v>
      </c>
    </row>
    <row r="55" spans="1:6">
      <c r="A55" s="4" t="s">
        <v>9</v>
      </c>
      <c r="B55" s="4" t="s">
        <v>61</v>
      </c>
      <c r="C55" s="4"/>
      <c r="D55" s="6">
        <f>VLOOKUP(B55,计分表!B:AF,31,0)</f>
        <v>74.081</v>
      </c>
      <c r="E55" s="4">
        <f t="shared" si="0"/>
        <v>1</v>
      </c>
      <c r="F55" s="4">
        <v>26</v>
      </c>
    </row>
    <row r="56" spans="1:6">
      <c r="A56" s="4" t="s">
        <v>9</v>
      </c>
      <c r="B56" s="4" t="s">
        <v>62</v>
      </c>
      <c r="C56" s="4"/>
      <c r="D56" s="6">
        <f>VLOOKUP(B56,计分表!B:AF,31,0)</f>
        <v>55.089</v>
      </c>
      <c r="E56" s="4">
        <f t="shared" si="0"/>
        <v>44</v>
      </c>
      <c r="F56" s="4">
        <v>27</v>
      </c>
    </row>
    <row r="57" spans="1:6">
      <c r="A57" s="4" t="s">
        <v>9</v>
      </c>
      <c r="B57" s="4" t="s">
        <v>63</v>
      </c>
      <c r="C57" s="4"/>
      <c r="D57" s="6">
        <f>VLOOKUP(B57,计分表!B:AF,31,0)</f>
        <v>60.3716</v>
      </c>
      <c r="E57" s="4">
        <f t="shared" si="0"/>
        <v>22</v>
      </c>
      <c r="F57" s="4">
        <v>14</v>
      </c>
    </row>
    <row r="58" spans="1:6">
      <c r="A58" s="4" t="s">
        <v>9</v>
      </c>
      <c r="B58" s="4" t="s">
        <v>64</v>
      </c>
      <c r="C58" s="4"/>
      <c r="D58" s="6">
        <f>VLOOKUP(B58,计分表!B:AF,31,0)</f>
        <v>48.0656111111111</v>
      </c>
      <c r="E58" s="4">
        <f t="shared" si="0"/>
        <v>53</v>
      </c>
      <c r="F58" s="4">
        <v>54</v>
      </c>
    </row>
  </sheetData>
  <autoFilter xmlns:etc="http://www.wps.cn/officeDocument/2017/etCustomData" ref="A1:F58" etc:filterBottomFollowUsedRange="0">
    <sortState ref="A1:F58">
      <sortCondition ref="B1"/>
    </sortState>
    <extLst/>
  </autoFilter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F60"/>
  <sheetViews>
    <sheetView workbookViewId="0">
      <pane xSplit="2" ySplit="3" topLeftCell="S4" activePane="bottomRight" state="frozen"/>
      <selection/>
      <selection pane="topRight"/>
      <selection pane="bottomLeft"/>
      <selection pane="bottomRight" activeCell="V8" sqref="V8"/>
    </sheetView>
  </sheetViews>
  <sheetFormatPr defaultColWidth="9.2037037037037" defaultRowHeight="14.4"/>
  <cols>
    <col min="1" max="1" width="21.6666666666667" style="9" customWidth="1"/>
    <col min="2" max="2" width="14.1296296296296" style="9" customWidth="1"/>
    <col min="3" max="3" width="8.66666666666667" style="9" customWidth="1"/>
    <col min="4" max="4" width="15.9351851851852" style="10" customWidth="1"/>
    <col min="5" max="5" width="17.1296296296296" style="10" customWidth="1"/>
    <col min="6" max="6" width="15.9351851851852" style="10" customWidth="1"/>
    <col min="7" max="8" width="13.8703703703704" style="10" customWidth="1"/>
    <col min="9" max="9" width="5.66666666666667" style="10" customWidth="1"/>
    <col min="10" max="10" width="15.9351851851852" style="10" customWidth="1"/>
    <col min="11" max="11" width="16.7314814814815" style="9" customWidth="1"/>
    <col min="12" max="12" width="14.7962962962963" style="9" customWidth="1"/>
    <col min="13" max="13" width="20.2037037037037" style="9" customWidth="1"/>
    <col min="14" max="14" width="11.7314814814815" style="9" customWidth="1"/>
    <col min="15" max="15" width="11.7314814814815" style="10" customWidth="1"/>
    <col min="16" max="16" width="6.06481481481481" style="9" customWidth="1"/>
    <col min="17" max="17" width="15.9351851851852" style="10" customWidth="1"/>
    <col min="18" max="18" width="18.0648148148148" style="9" customWidth="1"/>
    <col min="19" max="19" width="20.2037037037037" style="9" customWidth="1"/>
    <col min="20" max="20" width="15.9351851851852" style="9" customWidth="1"/>
    <col min="21" max="21" width="9.39814814814815" style="9" customWidth="1"/>
    <col min="22" max="22" width="10.2037037037037" style="9" customWidth="1"/>
    <col min="23" max="23" width="7.60185185185185" style="9" customWidth="1"/>
    <col min="24" max="24" width="6.06481481481481" style="9" customWidth="1"/>
    <col min="25" max="25" width="9.39814814814815" style="9" customWidth="1"/>
    <col min="26" max="26" width="15.9351851851852" style="9" customWidth="1"/>
    <col min="27" max="27" width="13.8703703703704" style="9" customWidth="1"/>
    <col min="28" max="29" width="9.39814814814815" style="9" customWidth="1"/>
    <col min="30" max="30" width="7.33333333333333" style="9" customWidth="1"/>
    <col min="31" max="31" width="22.462962962963" style="9" customWidth="1"/>
    <col min="32" max="32" width="15.9351851851852" style="9" customWidth="1"/>
    <col min="33" max="16384" width="9.2037037037037" style="9"/>
  </cols>
  <sheetData>
    <row r="1" s="8" customFormat="1" ht="40.05" customHeight="1" spans="1:32">
      <c r="A1" s="11" t="s">
        <v>0</v>
      </c>
      <c r="B1" s="12" t="s">
        <v>1</v>
      </c>
      <c r="C1" s="12" t="s">
        <v>2</v>
      </c>
      <c r="D1" s="13" t="s">
        <v>65</v>
      </c>
      <c r="E1" s="13"/>
      <c r="F1" s="13"/>
      <c r="G1" s="13"/>
      <c r="H1" s="13"/>
      <c r="I1" s="13"/>
      <c r="J1" s="13"/>
      <c r="K1" s="20" t="s">
        <v>66</v>
      </c>
      <c r="L1" s="20" t="s">
        <v>67</v>
      </c>
      <c r="M1" s="20"/>
      <c r="N1" s="20"/>
      <c r="O1" s="13"/>
      <c r="P1" s="20"/>
      <c r="Q1" s="13"/>
      <c r="R1" s="22" t="s">
        <v>68</v>
      </c>
      <c r="S1" s="22"/>
      <c r="T1" s="22"/>
      <c r="U1" s="20" t="s">
        <v>69</v>
      </c>
      <c r="V1" s="20"/>
      <c r="W1" s="20"/>
      <c r="X1" s="20"/>
      <c r="Y1" s="20"/>
      <c r="Z1" s="20"/>
      <c r="AA1" s="22" t="s">
        <v>70</v>
      </c>
      <c r="AB1" s="22"/>
      <c r="AC1" s="22"/>
      <c r="AD1" s="22"/>
      <c r="AE1" s="22"/>
      <c r="AF1" s="28" t="s">
        <v>71</v>
      </c>
    </row>
    <row r="2" s="8" customFormat="1" ht="40.05" customHeight="1" spans="1:32">
      <c r="A2" s="11"/>
      <c r="B2" s="12"/>
      <c r="C2" s="12"/>
      <c r="D2" s="14" t="s">
        <v>72</v>
      </c>
      <c r="E2" s="15" t="s">
        <v>73</v>
      </c>
      <c r="F2" s="15"/>
      <c r="G2" s="15"/>
      <c r="H2" s="15"/>
      <c r="I2" s="15"/>
      <c r="J2" s="14" t="s">
        <v>74</v>
      </c>
      <c r="K2" s="20"/>
      <c r="L2" s="21" t="s">
        <v>75</v>
      </c>
      <c r="M2" s="21" t="s">
        <v>76</v>
      </c>
      <c r="N2" s="21"/>
      <c r="O2" s="15"/>
      <c r="P2" s="21"/>
      <c r="Q2" s="15" t="s">
        <v>77</v>
      </c>
      <c r="R2" s="23" t="s">
        <v>78</v>
      </c>
      <c r="S2" s="24" t="s">
        <v>79</v>
      </c>
      <c r="T2" s="23" t="s">
        <v>80</v>
      </c>
      <c r="U2" s="25" t="s">
        <v>81</v>
      </c>
      <c r="V2" s="23" t="s">
        <v>82</v>
      </c>
      <c r="W2" s="23"/>
      <c r="X2" s="23"/>
      <c r="Y2" s="29" t="s">
        <v>83</v>
      </c>
      <c r="Z2" s="23" t="s">
        <v>84</v>
      </c>
      <c r="AA2" s="29" t="s">
        <v>85</v>
      </c>
      <c r="AB2" s="29" t="s">
        <v>86</v>
      </c>
      <c r="AC2" s="29" t="s">
        <v>87</v>
      </c>
      <c r="AD2" s="25" t="s">
        <v>88</v>
      </c>
      <c r="AE2" s="23" t="s">
        <v>89</v>
      </c>
      <c r="AF2" s="28"/>
    </row>
    <row r="3" s="8" customFormat="1" ht="40.05" customHeight="1" spans="1:32">
      <c r="A3" s="11"/>
      <c r="B3" s="12"/>
      <c r="C3" s="12"/>
      <c r="D3" s="14"/>
      <c r="E3" s="16" t="s">
        <v>90</v>
      </c>
      <c r="F3" s="17" t="s">
        <v>91</v>
      </c>
      <c r="G3" s="14" t="s">
        <v>92</v>
      </c>
      <c r="H3" s="14" t="s">
        <v>93</v>
      </c>
      <c r="I3" s="14" t="s">
        <v>3</v>
      </c>
      <c r="J3" s="14"/>
      <c r="K3" s="20"/>
      <c r="L3" s="21"/>
      <c r="M3" s="21" t="s">
        <v>94</v>
      </c>
      <c r="N3" s="21" t="s">
        <v>95</v>
      </c>
      <c r="O3" s="15" t="s">
        <v>96</v>
      </c>
      <c r="P3" s="21" t="s">
        <v>3</v>
      </c>
      <c r="Q3" s="15"/>
      <c r="R3" s="23"/>
      <c r="S3" s="26"/>
      <c r="T3" s="23"/>
      <c r="U3" s="27"/>
      <c r="V3" s="23" t="s">
        <v>97</v>
      </c>
      <c r="W3" s="23" t="s">
        <v>98</v>
      </c>
      <c r="X3" s="23" t="s">
        <v>99</v>
      </c>
      <c r="Y3" s="30"/>
      <c r="Z3" s="23"/>
      <c r="AA3" s="30"/>
      <c r="AB3" s="30"/>
      <c r="AC3" s="30"/>
      <c r="AD3" s="27"/>
      <c r="AE3" s="23"/>
      <c r="AF3" s="28"/>
    </row>
    <row r="4" spans="1:32">
      <c r="A4" s="18" t="s">
        <v>9</v>
      </c>
      <c r="B4" s="18" t="s">
        <v>12</v>
      </c>
      <c r="C4" s="18"/>
      <c r="D4" s="19">
        <f>SUMIFS(德育素质!H:H,德育素质!B:B,B4,德育素质!D:D,"=基本评定分")</f>
        <v>6</v>
      </c>
      <c r="E4" s="19">
        <f>MIN(2,SUMIFS(德育素质!H:H,德育素质!A:A,A4,德育素质!D:D,"=集体评定等级分",德育素质!E:E,"=班级考评等级")+SUMIFS(德育素质!H:H,德育素质!B:B,B4,德育素质!D:D,"=集体评定等级分"))</f>
        <v>0</v>
      </c>
      <c r="F4" s="19">
        <f>MIN(2,SUMIFS(德育素质!H:H,德育素质!B:B,B4,德育素质!D:D,"=社会责任记实分"))</f>
        <v>0</v>
      </c>
      <c r="G4" s="19">
        <f>SUMIFS(德育素质!H:H,德育素质!B:B,B4,德育素质!D:D,"=违纪违规扣分")</f>
        <v>0</v>
      </c>
      <c r="H4" s="19">
        <f>SUMIFS(德育素质!H:H,德育素质!B:B,B4,德育素质!D:D,"=荣誉称号加分")</f>
        <v>0</v>
      </c>
      <c r="I4" s="19">
        <f t="shared" ref="I4:I35" si="0">MIN(4,E4+F4+G4+H4)</f>
        <v>0</v>
      </c>
      <c r="J4" s="19">
        <f t="shared" ref="J4:J35" si="1">D4+I4</f>
        <v>6</v>
      </c>
      <c r="K4" s="19">
        <f>(VLOOKUP(B4,智育素质!B:D,3,0)*10+50)*0.6</f>
        <v>50.4</v>
      </c>
      <c r="L4" s="19">
        <f>SUMIFS(体育素质!J:J,体育素质!B:B,B4,体育素质!D:D,"=体育课程成绩",体育素质!E:E,"=体育成绩")/40</f>
        <v>3.56</v>
      </c>
      <c r="M4" s="19">
        <f>SUMIFS(体育素质!L:L,体育素质!B:B,B4,体育素质!D:D,"=校内外体育竞赛")</f>
        <v>0</v>
      </c>
      <c r="N4" s="19">
        <f>SUMIFS(体育素质!L:L,体育素质!B:B,B4,体育素质!D:D,"=校内外体育活动",体育素质!E:E,"=早锻炼")</f>
        <v>0</v>
      </c>
      <c r="O4" s="19">
        <f>SUMIFS(体育素质!L:L,体育素质!B:B,B4,体育素质!D:D,"=校内外体育活动",体育素质!E:E,"=校园跑")</f>
        <v>0.6538125</v>
      </c>
      <c r="P4" s="19">
        <f t="shared" ref="P4:P35" si="2">MIN(3,M4+N4+O4)</f>
        <v>0.6538125</v>
      </c>
      <c r="Q4" s="19">
        <f t="shared" ref="Q4:Q35" si="3">MIN(8,P4+L4)</f>
        <v>4.2138125</v>
      </c>
      <c r="R4" s="19">
        <f>MIN(0.5,SUMIFS(美育素质!L:L,美育素质!B:B,B4,美育素质!D:D,"=文化艺术实践"))</f>
        <v>0</v>
      </c>
      <c r="S4" s="19">
        <f>SUMIFS(美育素质!L:L,美育素质!B:B,B4,美育素质!D:D,"=校内外文化艺术竞赛")</f>
        <v>0</v>
      </c>
      <c r="T4" s="19">
        <f t="shared" ref="T4:T35" si="4">MIN(5,S4+R4)</f>
        <v>0</v>
      </c>
      <c r="U4" s="19">
        <f>MAX(0,SUMIFS(劳育素质!K:K,劳育素质!B:B,B4,劳育素质!D:D,"=劳动日常考核基础分")+SUMIFS(劳育素质!K:K,劳育素质!B:B,B4,劳育素质!D:D,"=活动与卫生加减分"))</f>
        <v>1.52933333333333</v>
      </c>
      <c r="V4" s="19">
        <f>SUMIFS(劳育素质!K:K,劳育素质!B:B,B4,劳育素质!D:D,"=志愿服务",劳育素质!F:F,"=A类+B类")</f>
        <v>0.075</v>
      </c>
      <c r="W4" s="19">
        <f>SUMIFS(劳育素质!K:K,劳育素质!B:B,B4,劳育素质!D:D,"=志愿服务",劳育素质!F:F,"=C类")</f>
        <v>0</v>
      </c>
      <c r="X4" s="19">
        <f t="shared" ref="X4:X35" si="5">MIN(4,V4+W4)</f>
        <v>0.075</v>
      </c>
      <c r="Y4" s="19">
        <f>SUMIFS(劳育素质!K:K,劳育素质!B:B,B4,劳育素质!D:D,"=实习实训")</f>
        <v>0</v>
      </c>
      <c r="Z4" s="19">
        <f t="shared" ref="Z4:Z35" si="6">MIN(5,U4+X4+Y4)</f>
        <v>1.60433333333333</v>
      </c>
      <c r="AA4" s="19">
        <f>SUMIFS(创新与实践素质!L:L,创新与实践素质!B:B,B4,创新与实践素质!D:D,"=创新创业素质")</f>
        <v>0</v>
      </c>
      <c r="AB4" s="19">
        <f>SUMIFS(创新与实践素质!L:L,创新与实践素质!B:B,B4,创新与实践素质!D:D,"=水平考试")</f>
        <v>0</v>
      </c>
      <c r="AC4" s="19">
        <f>SUMIFS(创新与实践素质!L:L,创新与实践素质!B:B,B4,创新与实践素质!D:D,"=社会实践")</f>
        <v>0</v>
      </c>
      <c r="AD4" s="19">
        <f>_xlfn.MAXIFS(创新与实践素质!L:L,创新与实践素质!B:B,B4,创新与实践素质!D:D,"=社会工作能力（工作表现）",创新与实践素质!G:G,"=上学期")+_xlfn.MAXIFS(创新与实践素质!L:L,创新与实践素质!B:B,B4,创新与实践素质!D:D,"=社会工作能力（工作表现）",创新与实践素质!G:G,"=下学期")</f>
        <v>0</v>
      </c>
      <c r="AE4" s="19">
        <f t="shared" ref="AE4:AE35" si="7">MIN(12,AA4+AB4+AC4+AD4)</f>
        <v>0</v>
      </c>
      <c r="AF4" s="19">
        <f t="shared" ref="AF4:AF35" si="8">AE4+Z4+T4+Q4+K4+J4</f>
        <v>62.2181458333333</v>
      </c>
    </row>
    <row r="5" spans="1:32">
      <c r="A5" s="18" t="s">
        <v>9</v>
      </c>
      <c r="B5" s="18" t="s">
        <v>63</v>
      </c>
      <c r="C5" s="18"/>
      <c r="D5" s="19">
        <f>SUMIFS(德育素质!H:H,德育素质!B:B,B5,德育素质!D:D,"=基本评定分")</f>
        <v>5.28</v>
      </c>
      <c r="E5" s="19">
        <f>MIN(2,SUMIFS(德育素质!H:H,德育素质!A:A,A5,德育素质!D:D,"=集体评定等级分",德育素质!E:E,"=班级考评等级")+SUMIFS(德育素质!H:H,德育素质!B:B,B5,德育素质!D:D,"=集体评定等级分"))</f>
        <v>0</v>
      </c>
      <c r="F5" s="19">
        <f>MIN(2,SUMIFS(德育素质!H:H,德育素质!B:B,B5,德育素质!D:D,"=社会责任记实分"))</f>
        <v>0</v>
      </c>
      <c r="G5" s="19">
        <f>SUMIFS(德育素质!H:H,德育素质!B:B,B5,德育素质!D:D,"=违纪违规扣分")</f>
        <v>0</v>
      </c>
      <c r="H5" s="19">
        <f>SUMIFS(德育素质!H:H,德育素质!B:B,B5,德育素质!D:D,"=荣誉称号加分")</f>
        <v>0</v>
      </c>
      <c r="I5" s="19">
        <f t="shared" si="0"/>
        <v>0</v>
      </c>
      <c r="J5" s="19">
        <f t="shared" si="1"/>
        <v>5.28</v>
      </c>
      <c r="K5" s="19">
        <f>(VLOOKUP(B5,智育素质!B:D,3,0)*10+50)*0.6</f>
        <v>50.262</v>
      </c>
      <c r="L5" s="19">
        <f>SUMIFS(体育素质!J:J,体育素质!B:B,B5,体育素质!D:D,"=体育课程成绩",体育素质!E:E,"=体育成绩")/40</f>
        <v>3.235</v>
      </c>
      <c r="M5" s="19">
        <f>SUMIFS(体育素质!L:L,体育素质!B:B,B5,体育素质!D:D,"=校内外体育竞赛")</f>
        <v>0</v>
      </c>
      <c r="N5" s="19">
        <f>SUMIFS(体育素质!L:L,体育素质!B:B,B5,体育素质!D:D,"=校内外体育活动",体育素质!E:E,"=早锻炼")</f>
        <v>0</v>
      </c>
      <c r="O5" s="19">
        <f>SUMIFS(体育素质!L:L,体育素质!B:B,B5,体育素质!D:D,"=校内外体育活动",体育素质!E:E,"=校园跑")</f>
        <v>0</v>
      </c>
      <c r="P5" s="19">
        <f t="shared" si="2"/>
        <v>0</v>
      </c>
      <c r="Q5" s="19">
        <f t="shared" si="3"/>
        <v>3.235</v>
      </c>
      <c r="R5" s="19">
        <f>MIN(0.5,SUMIFS(美育素质!L:L,美育素质!B:B,B5,美育素质!D:D,"=文化艺术实践"))</f>
        <v>0</v>
      </c>
      <c r="S5" s="19">
        <f>SUMIFS(美育素质!L:L,美育素质!B:B,B5,美育素质!D:D,"=校内外文化艺术竞赛")</f>
        <v>0</v>
      </c>
      <c r="T5" s="19">
        <f t="shared" si="4"/>
        <v>0</v>
      </c>
      <c r="U5" s="19">
        <f>MAX(0,SUMIFS(劳育素质!K:K,劳育素质!B:B,B5,劳育素质!D:D,"=劳动日常考核基础分")+SUMIFS(劳育素质!K:K,劳育素质!B:B,B5,劳育素质!D:D,"=活动与卫生加减分"))</f>
        <v>1.5946</v>
      </c>
      <c r="V5" s="19">
        <f>SUMIFS(劳育素质!K:K,劳育素质!B:B,B5,劳育素质!D:D,"=志愿服务",劳育素质!F:F,"=A类+B类")</f>
        <v>0</v>
      </c>
      <c r="W5" s="19">
        <f>SUMIFS(劳育素质!K:K,劳育素质!B:B,B5,劳育素质!D:D,"=志愿服务",劳育素质!F:F,"=C类")</f>
        <v>0</v>
      </c>
      <c r="X5" s="19">
        <f t="shared" si="5"/>
        <v>0</v>
      </c>
      <c r="Y5" s="19">
        <f>SUMIFS(劳育素质!K:K,劳育素质!B:B,B5,劳育素质!D:D,"=实习实训")</f>
        <v>0</v>
      </c>
      <c r="Z5" s="19">
        <f t="shared" si="6"/>
        <v>1.5946</v>
      </c>
      <c r="AA5" s="19">
        <f>SUMIFS(创新与实践素质!L:L,创新与实践素质!B:B,B5,创新与实践素质!D:D,"=创新创业素质")</f>
        <v>0</v>
      </c>
      <c r="AB5" s="19">
        <f>SUMIFS(创新与实践素质!L:L,创新与实践素质!B:B,B5,创新与实践素质!D:D,"=水平考试")</f>
        <v>0</v>
      </c>
      <c r="AC5" s="19">
        <f>SUMIFS(创新与实践素质!L:L,创新与实践素质!B:B,B5,创新与实践素质!D:D,"=社会实践")</f>
        <v>0</v>
      </c>
      <c r="AD5" s="19">
        <f>_xlfn.MAXIFS(创新与实践素质!L:L,创新与实践素质!B:B,B5,创新与实践素质!D:D,"=社会工作能力（工作表现）",创新与实践素质!G:G,"=上学期")+_xlfn.MAXIFS(创新与实践素质!L:L,创新与实践素质!B:B,B5,创新与实践素质!D:D,"=社会工作能力（工作表现）",创新与实践素质!G:G,"=下学期")</f>
        <v>0</v>
      </c>
      <c r="AE5" s="19">
        <f t="shared" si="7"/>
        <v>0</v>
      </c>
      <c r="AF5" s="19">
        <f t="shared" si="8"/>
        <v>60.3716</v>
      </c>
    </row>
    <row r="6" spans="1:32">
      <c r="A6" s="18" t="s">
        <v>9</v>
      </c>
      <c r="B6" s="18" t="s">
        <v>27</v>
      </c>
      <c r="C6" s="18"/>
      <c r="D6" s="19">
        <f>SUMIFS(德育素质!H:H,德育素质!B:B,B6,德育素质!D:D,"=基本评定分")</f>
        <v>6</v>
      </c>
      <c r="E6" s="19">
        <f>MIN(2,SUMIFS(德育素质!H:H,德育素质!A:A,A6,德育素质!D:D,"=集体评定等级分",德育素质!E:E,"=班级考评等级")+SUMIFS(德育素质!H:H,德育素质!B:B,B6,德育素质!D:D,"=集体评定等级分"))</f>
        <v>0</v>
      </c>
      <c r="F6" s="19">
        <f>MIN(2,SUMIFS(德育素质!H:H,德育素质!B:B,B6,德育素质!D:D,"=社会责任记实分"))</f>
        <v>0</v>
      </c>
      <c r="G6" s="19">
        <f>SUMIFS(德育素质!H:H,德育素质!B:B,B6,德育素质!D:D,"=违纪违规扣分")</f>
        <v>0</v>
      </c>
      <c r="H6" s="19">
        <f>SUMIFS(德育素质!H:H,德育素质!B:B,B6,德育素质!D:D,"=荣誉称号加分")</f>
        <v>0.25</v>
      </c>
      <c r="I6" s="19">
        <f t="shared" si="0"/>
        <v>0.25</v>
      </c>
      <c r="J6" s="19">
        <f t="shared" si="1"/>
        <v>6.25</v>
      </c>
      <c r="K6" s="19">
        <f>(VLOOKUP(B6,智育素质!B:D,3,0)*10+50)*0.6</f>
        <v>53.85</v>
      </c>
      <c r="L6" s="19">
        <f>SUMIFS(体育素质!J:J,体育素质!B:B,B6,体育素质!D:D,"=体育课程成绩",体育素质!E:E,"=体育成绩")/40</f>
        <v>4.425</v>
      </c>
      <c r="M6" s="19">
        <f>SUMIFS(体育素质!L:L,体育素质!B:B,B6,体育素质!D:D,"=校内外体育竞赛")</f>
        <v>0</v>
      </c>
      <c r="N6" s="19">
        <f>SUMIFS(体育素质!L:L,体育素质!B:B,B6,体育素质!D:D,"=校内外体育活动",体育素质!E:E,"=早锻炼")</f>
        <v>0</v>
      </c>
      <c r="O6" s="19">
        <f>SUMIFS(体育素质!L:L,体育素质!B:B,B6,体育素质!D:D,"=校内外体育活动",体育素质!E:E,"=校园跑")</f>
        <v>1</v>
      </c>
      <c r="P6" s="19">
        <f t="shared" si="2"/>
        <v>1</v>
      </c>
      <c r="Q6" s="19">
        <f t="shared" si="3"/>
        <v>5.425</v>
      </c>
      <c r="R6" s="19">
        <f>MIN(0.5,SUMIFS(美育素质!L:L,美育素质!B:B,B6,美育素质!D:D,"=文化艺术实践"))</f>
        <v>0</v>
      </c>
      <c r="S6" s="19">
        <f>SUMIFS(美育素质!L:L,美育素质!B:B,B6,美育素质!D:D,"=校内外文化艺术竞赛")</f>
        <v>0.25</v>
      </c>
      <c r="T6" s="19">
        <f t="shared" si="4"/>
        <v>0.25</v>
      </c>
      <c r="U6" s="19">
        <f>MAX(0,SUMIFS(劳育素质!K:K,劳育素质!B:B,B6,劳育素质!D:D,"=劳动日常考核基础分")+SUMIFS(劳育素质!K:K,劳育素质!B:B,B6,劳育素质!D:D,"=活动与卫生加减分"))</f>
        <v>1.54966666666667</v>
      </c>
      <c r="V6" s="19">
        <f>SUMIFS(劳育素质!K:K,劳育素质!B:B,B6,劳育素质!D:D,"=志愿服务",劳育素质!F:F,"=A类+B类")</f>
        <v>3</v>
      </c>
      <c r="W6" s="19">
        <f>SUMIFS(劳育素质!K:K,劳育素质!B:B,B6,劳育素质!D:D,"=志愿服务",劳育素质!F:F,"=C类")</f>
        <v>0</v>
      </c>
      <c r="X6" s="19">
        <f t="shared" si="5"/>
        <v>3</v>
      </c>
      <c r="Y6" s="19">
        <f>SUMIFS(劳育素质!K:K,劳育素质!B:B,B6,劳育素质!D:D,"=实习实训")</f>
        <v>0</v>
      </c>
      <c r="Z6" s="19">
        <f t="shared" si="6"/>
        <v>4.54966666666667</v>
      </c>
      <c r="AA6" s="19">
        <f>SUMIFS(创新与实践素质!L:L,创新与实践素质!B:B,B6,创新与实践素质!D:D,"=创新创业素质")</f>
        <v>0.3</v>
      </c>
      <c r="AB6" s="19">
        <f>SUMIFS(创新与实践素质!L:L,创新与实践素质!B:B,B6,创新与实践素质!D:D,"=水平考试")</f>
        <v>0.9</v>
      </c>
      <c r="AC6" s="19">
        <f>SUMIFS(创新与实践素质!L:L,创新与实践素质!B:B,B6,创新与实践素质!D:D,"=社会实践")</f>
        <v>0</v>
      </c>
      <c r="AD6" s="19">
        <f>_xlfn.MAXIFS(创新与实践素质!L:L,创新与实践素质!B:B,B6,创新与实践素质!D:D,"=社会工作能力（工作表现）",创新与实践素质!G:G,"=上学期")+_xlfn.MAXIFS(创新与实践素质!L:L,创新与实践素质!B:B,B6,创新与实践素质!D:D,"=社会工作能力（工作表现）",创新与实践素质!G:G,"=下学期")</f>
        <v>0</v>
      </c>
      <c r="AE6" s="19">
        <f t="shared" si="7"/>
        <v>1.2</v>
      </c>
      <c r="AF6" s="19">
        <f t="shared" si="8"/>
        <v>71.5246666666667</v>
      </c>
    </row>
    <row r="7" spans="1:32">
      <c r="A7" s="18" t="s">
        <v>9</v>
      </c>
      <c r="B7" s="18" t="s">
        <v>20</v>
      </c>
      <c r="C7" s="18"/>
      <c r="D7" s="19">
        <f>SUMIFS(德育素质!H:H,德育素质!B:B,B7,德育素质!D:D,"=基本评定分")</f>
        <v>5.28</v>
      </c>
      <c r="E7" s="19">
        <f>MIN(2,SUMIFS(德育素质!H:H,德育素质!A:A,A7,德育素质!D:D,"=集体评定等级分",德育素质!E:E,"=班级考评等级")+SUMIFS(德育素质!H:H,德育素质!B:B,B7,德育素质!D:D,"=集体评定等级分"))</f>
        <v>0</v>
      </c>
      <c r="F7" s="19">
        <f>MIN(2,SUMIFS(德育素质!H:H,德育素质!B:B,B7,德育素质!D:D,"=社会责任记实分"))</f>
        <v>0</v>
      </c>
      <c r="G7" s="19">
        <f>SUMIFS(德育素质!H:H,德育素质!B:B,B7,德育素质!D:D,"=违纪违规扣分")</f>
        <v>0</v>
      </c>
      <c r="H7" s="19">
        <f>SUMIFS(德育素质!H:H,德育素质!B:B,B7,德育素质!D:D,"=荣誉称号加分")</f>
        <v>0</v>
      </c>
      <c r="I7" s="19">
        <f t="shared" si="0"/>
        <v>0</v>
      </c>
      <c r="J7" s="19">
        <f t="shared" si="1"/>
        <v>5.28</v>
      </c>
      <c r="K7" s="19">
        <f>(VLOOKUP(B7,智育素质!B:D,3,0)*10+50)*0.6</f>
        <v>49.68</v>
      </c>
      <c r="L7" s="19">
        <f>SUMIFS(体育素质!J:J,体育素质!B:B,B7,体育素质!D:D,"=体育课程成绩",体育素质!E:E,"=体育成绩")/40</f>
        <v>3.265</v>
      </c>
      <c r="M7" s="19">
        <f>SUMIFS(体育素质!L:L,体育素质!B:B,B7,体育素质!D:D,"=校内外体育竞赛")</f>
        <v>0</v>
      </c>
      <c r="N7" s="19">
        <f>SUMIFS(体育素质!L:L,体育素质!B:B,B7,体育素质!D:D,"=校内外体育活动",体育素质!E:E,"=早锻炼")</f>
        <v>0</v>
      </c>
      <c r="O7" s="19">
        <f>SUMIFS(体育素质!L:L,体育素质!B:B,B7,体育素质!D:D,"=校内外体育活动",体育素质!E:E,"=校园跑")</f>
        <v>0.625</v>
      </c>
      <c r="P7" s="19">
        <f t="shared" si="2"/>
        <v>0.625</v>
      </c>
      <c r="Q7" s="19">
        <f t="shared" si="3"/>
        <v>3.89</v>
      </c>
      <c r="R7" s="19">
        <f>MIN(0.5,SUMIFS(美育素质!L:L,美育素质!B:B,B7,美育素质!D:D,"=文化艺术实践"))</f>
        <v>0</v>
      </c>
      <c r="S7" s="19">
        <f>SUMIFS(美育素质!L:L,美育素质!B:B,B7,美育素质!D:D,"=校内外文化艺术竞赛")</f>
        <v>0</v>
      </c>
      <c r="T7" s="19">
        <f t="shared" si="4"/>
        <v>0</v>
      </c>
      <c r="U7" s="19">
        <f>MAX(0,SUMIFS(劳育素质!K:K,劳育素质!B:B,B7,劳育素质!D:D,"=劳动日常考核基础分")+SUMIFS(劳育素质!K:K,劳育素质!B:B,B7,劳育素质!D:D,"=活动与卫生加减分"))</f>
        <v>1.3665</v>
      </c>
      <c r="V7" s="19">
        <f>SUMIFS(劳育素质!K:K,劳育素质!B:B,B7,劳育素质!D:D,"=志愿服务",劳育素质!F:F,"=A类+B类")</f>
        <v>0</v>
      </c>
      <c r="W7" s="19">
        <f>SUMIFS(劳育素质!K:K,劳育素质!B:B,B7,劳育素质!D:D,"=志愿服务",劳育素质!F:F,"=C类")</f>
        <v>0</v>
      </c>
      <c r="X7" s="19">
        <f t="shared" si="5"/>
        <v>0</v>
      </c>
      <c r="Y7" s="19">
        <f>SUMIFS(劳育素质!K:K,劳育素质!B:B,B7,劳育素质!D:D,"=实习实训")</f>
        <v>0</v>
      </c>
      <c r="Z7" s="19">
        <f t="shared" si="6"/>
        <v>1.3665</v>
      </c>
      <c r="AA7" s="19">
        <f>SUMIFS(创新与实践素质!L:L,创新与实践素质!B:B,B7,创新与实践素质!D:D,"=创新创业素质")</f>
        <v>0</v>
      </c>
      <c r="AB7" s="19">
        <f>SUMIFS(创新与实践素质!L:L,创新与实践素质!B:B,B7,创新与实践素质!D:D,"=水平考试")</f>
        <v>0</v>
      </c>
      <c r="AC7" s="19">
        <f>SUMIFS(创新与实践素质!L:L,创新与实践素质!B:B,B7,创新与实践素质!D:D,"=社会实践")</f>
        <v>0</v>
      </c>
      <c r="AD7" s="19">
        <f>_xlfn.MAXIFS(创新与实践素质!L:L,创新与实践素质!B:B,B7,创新与实践素质!D:D,"=社会工作能力（工作表现）",创新与实践素质!G:G,"=上学期")+_xlfn.MAXIFS(创新与实践素质!L:L,创新与实践素质!B:B,B7,创新与实践素质!D:D,"=社会工作能力（工作表现）",创新与实践素质!G:G,"=下学期")</f>
        <v>0</v>
      </c>
      <c r="AE7" s="19">
        <f t="shared" si="7"/>
        <v>0</v>
      </c>
      <c r="AF7" s="19">
        <f t="shared" si="8"/>
        <v>60.2165</v>
      </c>
    </row>
    <row r="8" spans="1:32">
      <c r="A8" s="18" t="s">
        <v>9</v>
      </c>
      <c r="B8" s="18" t="s">
        <v>13</v>
      </c>
      <c r="C8" s="18"/>
      <c r="D8" s="19">
        <f>SUMIFS(德育素质!H:H,德育素质!B:B,B8,德育素质!D:D,"=基本评定分")</f>
        <v>6</v>
      </c>
      <c r="E8" s="19">
        <f>MIN(2,SUMIFS(德育素质!H:H,德育素质!A:A,A8,德育素质!D:D,"=集体评定等级分",德育素质!E:E,"=班级考评等级")+SUMIFS(德育素质!H:H,德育素质!B:B,B8,德育素质!D:D,"=集体评定等级分"))</f>
        <v>0</v>
      </c>
      <c r="F8" s="19">
        <f>MIN(2,SUMIFS(德育素质!H:H,德育素质!B:B,B8,德育素质!D:D,"=社会责任记实分"))</f>
        <v>0</v>
      </c>
      <c r="G8" s="19">
        <f>SUMIFS(德育素质!H:H,德育素质!B:B,B8,德育素质!D:D,"=违纪违规扣分")</f>
        <v>0</v>
      </c>
      <c r="H8" s="19">
        <f>SUMIFS(德育素质!H:H,德育素质!B:B,B8,德育素质!D:D,"=荣誉称号加分")</f>
        <v>0</v>
      </c>
      <c r="I8" s="19">
        <f t="shared" si="0"/>
        <v>0</v>
      </c>
      <c r="J8" s="19">
        <f t="shared" si="1"/>
        <v>6</v>
      </c>
      <c r="K8" s="19">
        <f>(VLOOKUP(B8,智育素质!B:D,3,0)*10+50)*0.6</f>
        <v>54.36</v>
      </c>
      <c r="L8" s="19">
        <f>SUMIFS(体育素质!J:J,体育素质!B:B,B8,体育素质!D:D,"=体育课程成绩",体育素质!E:E,"=体育成绩")/40</f>
        <v>3.895</v>
      </c>
      <c r="M8" s="19">
        <f>SUMIFS(体育素质!L:L,体育素质!B:B,B8,体育素质!D:D,"=校内外体育竞赛")</f>
        <v>0</v>
      </c>
      <c r="N8" s="19">
        <f>SUMIFS(体育素质!L:L,体育素质!B:B,B8,体育素质!D:D,"=校内外体育活动",体育素质!E:E,"=早锻炼")</f>
        <v>0</v>
      </c>
      <c r="O8" s="19">
        <f>SUMIFS(体育素质!L:L,体育素质!B:B,B8,体育素质!D:D,"=校内外体育活动",体育素质!E:E,"=校园跑")</f>
        <v>0.81875</v>
      </c>
      <c r="P8" s="19">
        <f t="shared" si="2"/>
        <v>0.81875</v>
      </c>
      <c r="Q8" s="19">
        <f t="shared" si="3"/>
        <v>4.71375</v>
      </c>
      <c r="R8" s="19">
        <f>MIN(0.5,SUMIFS(美育素质!L:L,美育素质!B:B,B8,美育素质!D:D,"=文化艺术实践"))</f>
        <v>0</v>
      </c>
      <c r="S8" s="19">
        <f>SUMIFS(美育素质!L:L,美育素质!B:B,B8,美育素质!D:D,"=校内外文化艺术竞赛")</f>
        <v>0.4</v>
      </c>
      <c r="T8" s="19">
        <f t="shared" si="4"/>
        <v>0.4</v>
      </c>
      <c r="U8" s="19">
        <f>MAX(0,SUMIFS(劳育素质!K:K,劳育素质!B:B,B8,劳育素质!D:D,"=劳动日常考核基础分")+SUMIFS(劳育素质!K:K,劳育素质!B:B,B8,劳育素质!D:D,"=活动与卫生加减分"))</f>
        <v>1.52933333333333</v>
      </c>
      <c r="V8" s="19">
        <f>SUMIFS(劳育素质!K:K,劳育素质!B:B,B8,劳育素质!D:D,"=志愿服务",劳育素质!F:F,"=A类+B类")</f>
        <v>1.175</v>
      </c>
      <c r="W8" s="19">
        <f>SUMIFS(劳育素质!K:K,劳育素质!B:B,B8,劳育素质!D:D,"=志愿服务",劳育素质!F:F,"=C类")</f>
        <v>0</v>
      </c>
      <c r="X8" s="19">
        <f t="shared" si="5"/>
        <v>1.175</v>
      </c>
      <c r="Y8" s="19">
        <f>SUMIFS(劳育素质!K:K,劳育素质!B:B,B8,劳育素质!D:D,"=实习实训")</f>
        <v>0</v>
      </c>
      <c r="Z8" s="19">
        <f t="shared" si="6"/>
        <v>2.70433333333333</v>
      </c>
      <c r="AA8" s="19">
        <f>SUMIFS(创新与实践素质!L:L,创新与实践素质!B:B,B8,创新与实践素质!D:D,"=创新创业素质")</f>
        <v>2.8</v>
      </c>
      <c r="AB8" s="19">
        <f>SUMIFS(创新与实践素质!L:L,创新与实践素质!B:B,B8,创新与实践素质!D:D,"=水平考试")</f>
        <v>0.5</v>
      </c>
      <c r="AC8" s="19">
        <f>SUMIFS(创新与实践素质!L:L,创新与实践素质!B:B,B8,创新与实践素质!D:D,"=社会实践")</f>
        <v>0</v>
      </c>
      <c r="AD8" s="19">
        <f>_xlfn.MAXIFS(创新与实践素质!L:L,创新与实践素质!B:B,B8,创新与实践素质!D:D,"=社会工作能力（工作表现）",创新与实践素质!G:G,"=上学期")+_xlfn.MAXIFS(创新与实践素质!L:L,创新与实践素质!B:B,B8,创新与实践素质!D:D,"=社会工作能力（工作表现）",创新与实践素质!G:G,"=下学期")</f>
        <v>2.1</v>
      </c>
      <c r="AE8" s="19">
        <f t="shared" si="7"/>
        <v>5.4</v>
      </c>
      <c r="AF8" s="19">
        <f t="shared" si="8"/>
        <v>73.5780833333333</v>
      </c>
    </row>
    <row r="9" spans="1:32">
      <c r="A9" s="18" t="s">
        <v>9</v>
      </c>
      <c r="B9" s="18" t="s">
        <v>21</v>
      </c>
      <c r="C9" s="18"/>
      <c r="D9" s="19">
        <f>SUMIFS(德育素质!H:H,德育素质!B:B,B9,德育素质!D:D,"=基本评定分")</f>
        <v>5.28</v>
      </c>
      <c r="E9" s="19">
        <f>MIN(2,SUMIFS(德育素质!H:H,德育素质!A:A,A9,德育素质!D:D,"=集体评定等级分",德育素质!E:E,"=班级考评等级")+SUMIFS(德育素质!H:H,德育素质!B:B,B9,德育素质!D:D,"=集体评定等级分"))</f>
        <v>0</v>
      </c>
      <c r="F9" s="19">
        <f>MIN(2,SUMIFS(德育素质!H:H,德育素质!B:B,B9,德育素质!D:D,"=社会责任记实分"))</f>
        <v>0</v>
      </c>
      <c r="G9" s="19">
        <f>SUMIFS(德育素质!H:H,德育素质!B:B,B9,德育素质!D:D,"=违纪违规扣分")</f>
        <v>0</v>
      </c>
      <c r="H9" s="19">
        <f>SUMIFS(德育素质!H:H,德育素质!B:B,B9,德育素质!D:D,"=荣誉称号加分")</f>
        <v>0</v>
      </c>
      <c r="I9" s="19">
        <f t="shared" si="0"/>
        <v>0</v>
      </c>
      <c r="J9" s="19">
        <f t="shared" si="1"/>
        <v>5.28</v>
      </c>
      <c r="K9" s="19">
        <f>(VLOOKUP(B9,智育素质!B:D,3,0)*10+50)*0.6</f>
        <v>47.448</v>
      </c>
      <c r="L9" s="19">
        <f>SUMIFS(体育素质!J:J,体育素质!B:B,B9,体育素质!D:D,"=体育课程成绩",体育素质!E:E,"=体育成绩")/40</f>
        <v>3.325</v>
      </c>
      <c r="M9" s="19">
        <f>SUMIFS(体育素质!L:L,体育素质!B:B,B9,体育素质!D:D,"=校内外体育竞赛")</f>
        <v>0</v>
      </c>
      <c r="N9" s="19">
        <f>SUMIFS(体育素质!L:L,体育素质!B:B,B9,体育素质!D:D,"=校内外体育活动",体育素质!E:E,"=早锻炼")</f>
        <v>0</v>
      </c>
      <c r="O9" s="19">
        <f>SUMIFS(体育素质!L:L,体育素质!B:B,B9,体育素质!D:D,"=校内外体育活动",体育素质!E:E,"=校园跑")</f>
        <v>0.626875</v>
      </c>
      <c r="P9" s="19">
        <f t="shared" si="2"/>
        <v>0.626875</v>
      </c>
      <c r="Q9" s="19">
        <f t="shared" si="3"/>
        <v>3.951875</v>
      </c>
      <c r="R9" s="19">
        <f>MIN(0.5,SUMIFS(美育素质!L:L,美育素质!B:B,B9,美育素质!D:D,"=文化艺术实践"))</f>
        <v>0</v>
      </c>
      <c r="S9" s="19">
        <f>SUMIFS(美育素质!L:L,美育素质!B:B,B9,美育素质!D:D,"=校内外文化艺术竞赛")</f>
        <v>0</v>
      </c>
      <c r="T9" s="19">
        <f t="shared" si="4"/>
        <v>0</v>
      </c>
      <c r="U9" s="19">
        <f>MAX(0,SUMIFS(劳育素质!K:K,劳育素质!B:B,B9,劳育素质!D:D,"=劳动日常考核基础分")+SUMIFS(劳育素质!K:K,劳育素质!B:B,B9,劳育素质!D:D,"=活动与卫生加减分"))</f>
        <v>1.39080952380952</v>
      </c>
      <c r="V9" s="19">
        <f>SUMIFS(劳育素质!K:K,劳育素质!B:B,B9,劳育素质!D:D,"=志愿服务",劳育素质!F:F,"=A类+B类")</f>
        <v>0</v>
      </c>
      <c r="W9" s="19">
        <f>SUMIFS(劳育素质!K:K,劳育素质!B:B,B9,劳育素质!D:D,"=志愿服务",劳育素质!F:F,"=C类")</f>
        <v>0</v>
      </c>
      <c r="X9" s="19">
        <f t="shared" si="5"/>
        <v>0</v>
      </c>
      <c r="Y9" s="19">
        <f>SUMIFS(劳育素质!K:K,劳育素质!B:B,B9,劳育素质!D:D,"=实习实训")</f>
        <v>0</v>
      </c>
      <c r="Z9" s="19">
        <f t="shared" si="6"/>
        <v>1.39080952380952</v>
      </c>
      <c r="AA9" s="19">
        <f>SUMIFS(创新与实践素质!L:L,创新与实践素质!B:B,B9,创新与实践素质!D:D,"=创新创业素质")</f>
        <v>0</v>
      </c>
      <c r="AB9" s="19">
        <f>SUMIFS(创新与实践素质!L:L,创新与实践素质!B:B,B9,创新与实践素质!D:D,"=水平考试")</f>
        <v>0</v>
      </c>
      <c r="AC9" s="19">
        <f>SUMIFS(创新与实践素质!L:L,创新与实践素质!B:B,B9,创新与实践素质!D:D,"=社会实践")</f>
        <v>0</v>
      </c>
      <c r="AD9" s="19">
        <f>_xlfn.MAXIFS(创新与实践素质!L:L,创新与实践素质!B:B,B9,创新与实践素质!D:D,"=社会工作能力（工作表现）",创新与实践素质!G:G,"=上学期")+_xlfn.MAXIFS(创新与实践素质!L:L,创新与实践素质!B:B,B9,创新与实践素质!D:D,"=社会工作能力（工作表现）",创新与实践素质!G:G,"=下学期")</f>
        <v>0</v>
      </c>
      <c r="AE9" s="19">
        <f t="shared" si="7"/>
        <v>0</v>
      </c>
      <c r="AF9" s="19">
        <f t="shared" si="8"/>
        <v>58.0706845238095</v>
      </c>
    </row>
    <row r="10" spans="1:32">
      <c r="A10" s="18" t="s">
        <v>9</v>
      </c>
      <c r="B10" s="18" t="s">
        <v>38</v>
      </c>
      <c r="C10" s="18"/>
      <c r="D10" s="19">
        <f>SUMIFS(德育素质!H:H,德育素质!B:B,B10,德育素质!D:D,"=基本评定分")</f>
        <v>5.28</v>
      </c>
      <c r="E10" s="19">
        <f>MIN(2,SUMIFS(德育素质!H:H,德育素质!A:A,A10,德育素质!D:D,"=集体评定等级分",德育素质!E:E,"=班级考评等级")+SUMIFS(德育素质!H:H,德育素质!B:B,B10,德育素质!D:D,"=集体评定等级分"))</f>
        <v>0</v>
      </c>
      <c r="F10" s="19">
        <f>MIN(2,SUMIFS(德育素质!H:H,德育素质!B:B,B10,德育素质!D:D,"=社会责任记实分"))</f>
        <v>0.1</v>
      </c>
      <c r="G10" s="19">
        <f>SUMIFS(德育素质!H:H,德育素质!B:B,B10,德育素质!D:D,"=违纪违规扣分")</f>
        <v>0</v>
      </c>
      <c r="H10" s="19">
        <f>SUMIFS(德育素质!H:H,德育素质!B:B,B10,德育素质!D:D,"=荣誉称号加分")</f>
        <v>0</v>
      </c>
      <c r="I10" s="19">
        <f t="shared" si="0"/>
        <v>0.1</v>
      </c>
      <c r="J10" s="19">
        <f t="shared" si="1"/>
        <v>5.38</v>
      </c>
      <c r="K10" s="19">
        <f>(VLOOKUP(B10,智育素质!B:D,3,0)*10+50)*0.6</f>
        <v>53.154</v>
      </c>
      <c r="L10" s="19">
        <f>SUMIFS(体育素质!J:J,体育素质!B:B,B10,体育素质!D:D,"=体育课程成绩",体育素质!E:E,"=体育成绩")/40</f>
        <v>4.415</v>
      </c>
      <c r="M10" s="19">
        <f>SUMIFS(体育素质!L:L,体育素质!B:B,B10,体育素质!D:D,"=校内外体育竞赛")</f>
        <v>0</v>
      </c>
      <c r="N10" s="19">
        <f>SUMIFS(体育素质!L:L,体育素质!B:B,B10,体育素质!D:D,"=校内外体育活动",体育素质!E:E,"=早锻炼")</f>
        <v>0</v>
      </c>
      <c r="O10" s="19">
        <f>SUMIFS(体育素质!L:L,体育素质!B:B,B10,体育素质!D:D,"=校内外体育活动",体育素质!E:E,"=校园跑")</f>
        <v>1</v>
      </c>
      <c r="P10" s="19">
        <f t="shared" si="2"/>
        <v>1</v>
      </c>
      <c r="Q10" s="19">
        <f t="shared" si="3"/>
        <v>5.415</v>
      </c>
      <c r="R10" s="19">
        <f>MIN(0.5,SUMIFS(美育素质!L:L,美育素质!B:B,B10,美育素质!D:D,"=文化艺术实践"))</f>
        <v>0</v>
      </c>
      <c r="S10" s="19">
        <f>SUMIFS(美育素质!L:L,美育素质!B:B,B10,美育素质!D:D,"=校内外文化艺术竞赛")</f>
        <v>0</v>
      </c>
      <c r="T10" s="19">
        <f t="shared" si="4"/>
        <v>0</v>
      </c>
      <c r="U10" s="19">
        <f>MAX(0,SUMIFS(劳育素质!K:K,劳育素质!B:B,B10,劳育素质!D:D,"=劳动日常考核基础分")+SUMIFS(劳育素质!K:K,劳育素质!B:B,B10,劳育素质!D:D,"=活动与卫生加减分"))</f>
        <v>1.65013333333333</v>
      </c>
      <c r="V10" s="19">
        <f>SUMIFS(劳育素质!K:K,劳育素质!B:B,B10,劳育素质!D:D,"=志愿服务",劳育素质!F:F,"=A类+B类")</f>
        <v>0.675</v>
      </c>
      <c r="W10" s="19">
        <f>SUMIFS(劳育素质!K:K,劳育素质!B:B,B10,劳育素质!D:D,"=志愿服务",劳育素质!F:F,"=C类")</f>
        <v>0</v>
      </c>
      <c r="X10" s="19">
        <f t="shared" si="5"/>
        <v>0.675</v>
      </c>
      <c r="Y10" s="19">
        <f>SUMIFS(劳育素质!K:K,劳育素质!B:B,B10,劳育素质!D:D,"=实习实训")</f>
        <v>0</v>
      </c>
      <c r="Z10" s="19">
        <f t="shared" si="6"/>
        <v>2.32513333333333</v>
      </c>
      <c r="AA10" s="19">
        <f>SUMIFS(创新与实践素质!L:L,创新与实践素质!B:B,B10,创新与实践素质!D:D,"=创新创业素质")</f>
        <v>0</v>
      </c>
      <c r="AB10" s="19">
        <f>SUMIFS(创新与实践素质!L:L,创新与实践素质!B:B,B10,创新与实践素质!D:D,"=水平考试")</f>
        <v>0</v>
      </c>
      <c r="AC10" s="19">
        <f>SUMIFS(创新与实践素质!L:L,创新与实践素质!B:B,B10,创新与实践素质!D:D,"=社会实践")</f>
        <v>0</v>
      </c>
      <c r="AD10" s="19">
        <f>_xlfn.MAXIFS(创新与实践素质!L:L,创新与实践素质!B:B,B10,创新与实践素质!D:D,"=社会工作能力（工作表现）",创新与实践素质!G:G,"=上学期")+_xlfn.MAXIFS(创新与实践素质!L:L,创新与实践素质!B:B,B10,创新与实践素质!D:D,"=社会工作能力（工作表现）",创新与实践素质!G:G,"=下学期")</f>
        <v>0</v>
      </c>
      <c r="AE10" s="19">
        <f t="shared" si="7"/>
        <v>0</v>
      </c>
      <c r="AF10" s="19">
        <f t="shared" si="8"/>
        <v>66.2741333333333</v>
      </c>
    </row>
    <row r="11" spans="1:32">
      <c r="A11" s="18" t="s">
        <v>9</v>
      </c>
      <c r="B11" s="18" t="s">
        <v>61</v>
      </c>
      <c r="C11" s="18"/>
      <c r="D11" s="19">
        <f>SUMIFS(德育素质!H:H,德育素质!B:B,B11,德育素质!D:D,"=基本评定分")</f>
        <v>5.28</v>
      </c>
      <c r="E11" s="19">
        <f>MIN(2,SUMIFS(德育素质!H:H,德育素质!A:A,A11,德育素质!D:D,"=集体评定等级分",德育素质!E:E,"=班级考评等级")+SUMIFS(德育素质!H:H,德育素质!B:B,B11,德育素质!D:D,"=集体评定等级分"))</f>
        <v>0</v>
      </c>
      <c r="F11" s="19">
        <f>MIN(2,SUMIFS(德育素质!H:H,德育素质!B:B,B11,德育素质!D:D,"=社会责任记实分"))</f>
        <v>0</v>
      </c>
      <c r="G11" s="19">
        <f>SUMIFS(德育素质!H:H,德育素质!B:B,B11,德育素质!D:D,"=违纪违规扣分")</f>
        <v>0</v>
      </c>
      <c r="H11" s="19">
        <f>SUMIFS(德育素质!H:H,德育素质!B:B,B11,德育素质!D:D,"=荣誉称号加分")</f>
        <v>0.25</v>
      </c>
      <c r="I11" s="19">
        <f t="shared" si="0"/>
        <v>0.25</v>
      </c>
      <c r="J11" s="19">
        <f t="shared" si="1"/>
        <v>5.53</v>
      </c>
      <c r="K11" s="19">
        <f>(VLOOKUP(B11,智育素质!B:D,3,0)*10+50)*0.6</f>
        <v>48.552</v>
      </c>
      <c r="L11" s="19">
        <f>SUMIFS(体育素质!J:J,体育素质!B:B,B11,体育素质!D:D,"=体育课程成绩",体育素质!E:E,"=体育成绩")/40</f>
        <v>3.64</v>
      </c>
      <c r="M11" s="19">
        <f>SUMIFS(体育素质!L:L,体育素质!B:B,B11,体育素质!D:D,"=校内外体育竞赛")</f>
        <v>0</v>
      </c>
      <c r="N11" s="19">
        <f>SUMIFS(体育素质!L:L,体育素质!B:B,B11,体育素质!D:D,"=校内外体育活动",体育素质!E:E,"=早锻炼")</f>
        <v>0</v>
      </c>
      <c r="O11" s="19">
        <f>SUMIFS(体育素质!L:L,体育素质!B:B,B11,体育素质!D:D,"=校内外体育活动",体育素质!E:E,"=校园跑")</f>
        <v>0</v>
      </c>
      <c r="P11" s="19">
        <f t="shared" si="2"/>
        <v>0</v>
      </c>
      <c r="Q11" s="19">
        <f t="shared" si="3"/>
        <v>3.64</v>
      </c>
      <c r="R11" s="19">
        <f>MIN(0.5,SUMIFS(美育素质!L:L,美育素质!B:B,B11,美育素质!D:D,"=文化艺术实践"))</f>
        <v>0</v>
      </c>
      <c r="S11" s="19">
        <f>SUMIFS(美育素质!L:L,美育素质!B:B,B11,美育素质!D:D,"=校内外文化艺术竞赛")</f>
        <v>0</v>
      </c>
      <c r="T11" s="19">
        <f t="shared" si="4"/>
        <v>0</v>
      </c>
      <c r="U11" s="19">
        <f>MAX(0,SUMIFS(劳育素质!K:K,劳育素质!B:B,B11,劳育素质!D:D,"=劳动日常考核基础分")+SUMIFS(劳育素质!K:K,劳育素质!B:B,B11,劳育素质!D:D,"=活动与卫生加减分"))</f>
        <v>1.359</v>
      </c>
      <c r="V11" s="19">
        <f>SUMIFS(劳育素质!K:K,劳育素质!B:B,B11,劳育素质!D:D,"=志愿服务",劳育素质!F:F,"=A类+B类")</f>
        <v>3</v>
      </c>
      <c r="W11" s="19">
        <f>SUMIFS(劳育素质!K:K,劳育素质!B:B,B11,劳育素质!D:D,"=志愿服务",劳育素质!F:F,"=C类")</f>
        <v>0</v>
      </c>
      <c r="X11" s="19">
        <f t="shared" si="5"/>
        <v>3</v>
      </c>
      <c r="Y11" s="19">
        <f>SUMIFS(劳育素质!K:K,劳育素质!B:B,B11,劳育素质!D:D,"=实习实训")</f>
        <v>0</v>
      </c>
      <c r="Z11" s="19">
        <f t="shared" si="6"/>
        <v>4.359</v>
      </c>
      <c r="AA11" s="19">
        <f>SUMIFS(创新与实践素质!L:L,创新与实践素质!B:B,B11,创新与实践素质!D:D,"=创新创业素质")</f>
        <v>17.8</v>
      </c>
      <c r="AB11" s="19">
        <f>SUMIFS(创新与实践素质!L:L,创新与实践素质!B:B,B11,创新与实践素质!D:D,"=水平考试")</f>
        <v>0</v>
      </c>
      <c r="AC11" s="19">
        <f>SUMIFS(创新与实践素质!L:L,创新与实践素质!B:B,B11,创新与实践素质!D:D,"=社会实践")</f>
        <v>0</v>
      </c>
      <c r="AD11" s="19">
        <f>_xlfn.MAXIFS(创新与实践素质!L:L,创新与实践素质!B:B,B11,创新与实践素质!D:D,"=社会工作能力（工作表现）",创新与实践素质!G:G,"=上学期")+_xlfn.MAXIFS(创新与实践素质!L:L,创新与实践素质!B:B,B11,创新与实践素质!D:D,"=社会工作能力（工作表现）",创新与实践素质!G:G,"=下学期")</f>
        <v>0</v>
      </c>
      <c r="AE11" s="19">
        <f t="shared" si="7"/>
        <v>12</v>
      </c>
      <c r="AF11" s="19">
        <f t="shared" si="8"/>
        <v>74.081</v>
      </c>
    </row>
    <row r="12" spans="1:32">
      <c r="A12" s="18" t="s">
        <v>9</v>
      </c>
      <c r="B12" s="18" t="s">
        <v>32</v>
      </c>
      <c r="C12" s="18"/>
      <c r="D12" s="19">
        <f>SUMIFS(德育素质!H:H,德育素质!B:B,B12,德育素质!D:D,"=基本评定分")</f>
        <v>5.28</v>
      </c>
      <c r="E12" s="19">
        <f>MIN(2,SUMIFS(德育素质!H:H,德育素质!A:A,A12,德育素质!D:D,"=集体评定等级分",德育素质!E:E,"=班级考评等级")+SUMIFS(德育素质!H:H,德育素质!B:B,B12,德育素质!D:D,"=集体评定等级分"))</f>
        <v>0</v>
      </c>
      <c r="F12" s="19">
        <f>MIN(2,SUMIFS(德育素质!H:H,德育素质!B:B,B12,德育素质!D:D,"=社会责任记实分"))</f>
        <v>0</v>
      </c>
      <c r="G12" s="19">
        <f>SUMIFS(德育素质!H:H,德育素质!B:B,B12,德育素质!D:D,"=违纪违规扣分")</f>
        <v>0</v>
      </c>
      <c r="H12" s="19">
        <f>SUMIFS(德育素质!H:H,德育素质!B:B,B12,德育素质!D:D,"=荣誉称号加分")</f>
        <v>0</v>
      </c>
      <c r="I12" s="19">
        <f t="shared" si="0"/>
        <v>0</v>
      </c>
      <c r="J12" s="19">
        <f t="shared" si="1"/>
        <v>5.28</v>
      </c>
      <c r="K12" s="19">
        <f>(VLOOKUP(B12,智育素质!B:D,3,0)*10+50)*0.6</f>
        <v>43.152</v>
      </c>
      <c r="L12" s="19">
        <f>SUMIFS(体育素质!J:J,体育素质!B:B,B12,体育素质!D:D,"=体育课程成绩",体育素质!E:E,"=体育成绩")/40</f>
        <v>3.275</v>
      </c>
      <c r="M12" s="19">
        <f>SUMIFS(体育素质!L:L,体育素质!B:B,B12,体育素质!D:D,"=校内外体育竞赛")</f>
        <v>0</v>
      </c>
      <c r="N12" s="19">
        <f>SUMIFS(体育素质!L:L,体育素质!B:B,B12,体育素质!D:D,"=校内外体育活动",体育素质!E:E,"=早锻炼")</f>
        <v>0</v>
      </c>
      <c r="O12" s="19">
        <f>SUMIFS(体育素质!L:L,体育素质!B:B,B12,体育素质!D:D,"=校内外体育活动",体育素质!E:E,"=校园跑")</f>
        <v>0.5</v>
      </c>
      <c r="P12" s="19">
        <f t="shared" si="2"/>
        <v>0.5</v>
      </c>
      <c r="Q12" s="19">
        <f t="shared" si="3"/>
        <v>3.775</v>
      </c>
      <c r="R12" s="19">
        <f>MIN(0.5,SUMIFS(美育素质!L:L,美育素质!B:B,B12,美育素质!D:D,"=文化艺术实践"))</f>
        <v>0</v>
      </c>
      <c r="S12" s="19">
        <f>SUMIFS(美育素质!L:L,美育素质!B:B,B12,美育素质!D:D,"=校内外文化艺术竞赛")</f>
        <v>0</v>
      </c>
      <c r="T12" s="19">
        <f t="shared" si="4"/>
        <v>0</v>
      </c>
      <c r="U12" s="19">
        <f>MAX(0,SUMIFS(劳育素质!K:K,劳育素质!B:B,B12,劳育素质!D:D,"=劳动日常考核基础分")+SUMIFS(劳育素质!K:K,劳育素质!B:B,B12,劳育素质!D:D,"=活动与卫生加减分"))</f>
        <v>1.4828</v>
      </c>
      <c r="V12" s="19">
        <f>SUMIFS(劳育素质!K:K,劳育素质!B:B,B12,劳育素质!D:D,"=志愿服务",劳育素质!F:F,"=A类+B类")</f>
        <v>0</v>
      </c>
      <c r="W12" s="19">
        <f>SUMIFS(劳育素质!K:K,劳育素质!B:B,B12,劳育素质!D:D,"=志愿服务",劳育素质!F:F,"=C类")</f>
        <v>0</v>
      </c>
      <c r="X12" s="19">
        <f t="shared" si="5"/>
        <v>0</v>
      </c>
      <c r="Y12" s="19">
        <f>SUMIFS(劳育素质!K:K,劳育素质!B:B,B12,劳育素质!D:D,"=实习实训")</f>
        <v>0</v>
      </c>
      <c r="Z12" s="19">
        <f t="shared" si="6"/>
        <v>1.4828</v>
      </c>
      <c r="AA12" s="19">
        <f>SUMIFS(创新与实践素质!L:L,创新与实践素质!B:B,B12,创新与实践素质!D:D,"=创新创业素质")</f>
        <v>0</v>
      </c>
      <c r="AB12" s="19">
        <f>SUMIFS(创新与实践素质!L:L,创新与实践素质!B:B,B12,创新与实践素质!D:D,"=水平考试")</f>
        <v>0</v>
      </c>
      <c r="AC12" s="19">
        <f>SUMIFS(创新与实践素质!L:L,创新与实践素质!B:B,B12,创新与实践素质!D:D,"=社会实践")</f>
        <v>0</v>
      </c>
      <c r="AD12" s="19">
        <f>_xlfn.MAXIFS(创新与实践素质!L:L,创新与实践素质!B:B,B12,创新与实践素质!D:D,"=社会工作能力（工作表现）",创新与实践素质!G:G,"=上学期")+_xlfn.MAXIFS(创新与实践素质!L:L,创新与实践素质!B:B,B12,创新与实践素质!D:D,"=社会工作能力（工作表现）",创新与实践素质!G:G,"=下学期")</f>
        <v>0</v>
      </c>
      <c r="AE12" s="19">
        <f t="shared" si="7"/>
        <v>0</v>
      </c>
      <c r="AF12" s="19">
        <f t="shared" si="8"/>
        <v>53.6898</v>
      </c>
    </row>
    <row r="13" spans="1:32">
      <c r="A13" s="18" t="s">
        <v>9</v>
      </c>
      <c r="B13" s="18" t="s">
        <v>33</v>
      </c>
      <c r="C13" s="18"/>
      <c r="D13" s="19">
        <f>SUMIFS(德育素质!H:H,德育素质!B:B,B13,德育素质!D:D,"=基本评定分")</f>
        <v>6</v>
      </c>
      <c r="E13" s="19">
        <f>MIN(2,SUMIFS(德育素质!H:H,德育素质!A:A,A13,德育素质!D:D,"=集体评定等级分",德育素质!E:E,"=班级考评等级")+SUMIFS(德育素质!H:H,德育素质!B:B,B13,德育素质!D:D,"=集体评定等级分"))</f>
        <v>0</v>
      </c>
      <c r="F13" s="19">
        <f>MIN(2,SUMIFS(德育素质!H:H,德育素质!B:B,B13,德育素质!D:D,"=社会责任记实分"))</f>
        <v>0</v>
      </c>
      <c r="G13" s="19">
        <f>SUMIFS(德育素质!H:H,德育素质!B:B,B13,德育素质!D:D,"=违纪违规扣分")</f>
        <v>0</v>
      </c>
      <c r="H13" s="19">
        <f>SUMIFS(德育素质!H:H,德育素质!B:B,B13,德育素质!D:D,"=荣誉称号加分")</f>
        <v>0</v>
      </c>
      <c r="I13" s="19">
        <f t="shared" si="0"/>
        <v>0</v>
      </c>
      <c r="J13" s="19">
        <f t="shared" si="1"/>
        <v>6</v>
      </c>
      <c r="K13" s="19">
        <f>(VLOOKUP(B13,智育素质!B:D,3,0)*10+50)*0.6</f>
        <v>46.5</v>
      </c>
      <c r="L13" s="19">
        <f>SUMIFS(体育素质!J:J,体育素质!B:B,B13,体育素质!D:D,"=体育课程成绩",体育素质!E:E,"=体育成绩")/40</f>
        <v>3.525</v>
      </c>
      <c r="M13" s="19">
        <f>SUMIFS(体育素质!L:L,体育素质!B:B,B13,体育素质!D:D,"=校内外体育竞赛")</f>
        <v>0</v>
      </c>
      <c r="N13" s="19">
        <f>SUMIFS(体育素质!L:L,体育素质!B:B,B13,体育素质!D:D,"=校内外体育活动",体育素质!E:E,"=早锻炼")</f>
        <v>0</v>
      </c>
      <c r="O13" s="19">
        <f>SUMIFS(体育素质!L:L,体育素质!B:B,B13,体育素质!D:D,"=校内外体育活动",体育素质!E:E,"=校园跑")</f>
        <v>0.5</v>
      </c>
      <c r="P13" s="19">
        <f t="shared" si="2"/>
        <v>0.5</v>
      </c>
      <c r="Q13" s="19">
        <f t="shared" si="3"/>
        <v>4.025</v>
      </c>
      <c r="R13" s="19">
        <f>MIN(0.5,SUMIFS(美育素质!L:L,美育素质!B:B,B13,美育素质!D:D,"=文化艺术实践"))</f>
        <v>0</v>
      </c>
      <c r="S13" s="19">
        <f>SUMIFS(美育素质!L:L,美育素质!B:B,B13,美育素质!D:D,"=校内外文化艺术竞赛")</f>
        <v>0</v>
      </c>
      <c r="T13" s="19">
        <f t="shared" si="4"/>
        <v>0</v>
      </c>
      <c r="U13" s="19">
        <f>MAX(0,SUMIFS(劳育素质!K:K,劳育素质!B:B,B13,劳育素质!D:D,"=劳动日常考核基础分")+SUMIFS(劳育素质!K:K,劳育素质!B:B,B13,劳育素质!D:D,"=活动与卫生加减分"))</f>
        <v>1.428</v>
      </c>
      <c r="V13" s="19">
        <f>SUMIFS(劳育素质!K:K,劳育素质!B:B,B13,劳育素质!D:D,"=志愿服务",劳育素质!F:F,"=A类+B类")</f>
        <v>1.475</v>
      </c>
      <c r="W13" s="19">
        <f>SUMIFS(劳育素质!K:K,劳育素质!B:B,B13,劳育素质!D:D,"=志愿服务",劳育素质!F:F,"=C类")</f>
        <v>0</v>
      </c>
      <c r="X13" s="19">
        <f t="shared" si="5"/>
        <v>1.475</v>
      </c>
      <c r="Y13" s="19">
        <f>SUMIFS(劳育素质!K:K,劳育素质!B:B,B13,劳育素质!D:D,"=实习实训")</f>
        <v>0</v>
      </c>
      <c r="Z13" s="19">
        <f t="shared" si="6"/>
        <v>2.903</v>
      </c>
      <c r="AA13" s="19">
        <f>SUMIFS(创新与实践素质!L:L,创新与实践素质!B:B,B13,创新与实践素质!D:D,"=创新创业素质")</f>
        <v>0</v>
      </c>
      <c r="AB13" s="19">
        <f>SUMIFS(创新与实践素质!L:L,创新与实践素质!B:B,B13,创新与实践素质!D:D,"=水平考试")</f>
        <v>0</v>
      </c>
      <c r="AC13" s="19">
        <f>SUMIFS(创新与实践素质!L:L,创新与实践素质!B:B,B13,创新与实践素质!D:D,"=社会实践")</f>
        <v>0</v>
      </c>
      <c r="AD13" s="19">
        <f>_xlfn.MAXIFS(创新与实践素质!L:L,创新与实践素质!B:B,B13,创新与实践素质!D:D,"=社会工作能力（工作表现）",创新与实践素质!G:G,"=上学期")+_xlfn.MAXIFS(创新与实践素质!L:L,创新与实践素质!B:B,B13,创新与实践素质!D:D,"=社会工作能力（工作表现）",创新与实践素质!G:G,"=下学期")</f>
        <v>0.6</v>
      </c>
      <c r="AE13" s="19">
        <f t="shared" si="7"/>
        <v>0.6</v>
      </c>
      <c r="AF13" s="19">
        <f t="shared" si="8"/>
        <v>60.028</v>
      </c>
    </row>
    <row r="14" spans="1:32">
      <c r="A14" s="18" t="s">
        <v>9</v>
      </c>
      <c r="B14" s="18" t="s">
        <v>22</v>
      </c>
      <c r="C14" s="18"/>
      <c r="D14" s="19">
        <f>SUMIFS(德育素质!H:H,德育素质!B:B,B14,德育素质!D:D,"=基本评定分")</f>
        <v>5.28</v>
      </c>
      <c r="E14" s="19">
        <f>MIN(2,SUMIFS(德育素质!H:H,德育素质!A:A,A14,德育素质!D:D,"=集体评定等级分",德育素质!E:E,"=班级考评等级")+SUMIFS(德育素质!H:H,德育素质!B:B,B14,德育素质!D:D,"=集体评定等级分"))</f>
        <v>0</v>
      </c>
      <c r="F14" s="19">
        <f>MIN(2,SUMIFS(德育素质!H:H,德育素质!B:B,B14,德育素质!D:D,"=社会责任记实分"))</f>
        <v>0</v>
      </c>
      <c r="G14" s="19">
        <f>SUMIFS(德育素质!H:H,德育素质!B:B,B14,德育素质!D:D,"=违纪违规扣分")</f>
        <v>0</v>
      </c>
      <c r="H14" s="19">
        <f>SUMIFS(德育素质!H:H,德育素质!B:B,B14,德育素质!D:D,"=荣誉称号加分")</f>
        <v>0</v>
      </c>
      <c r="I14" s="19">
        <f t="shared" si="0"/>
        <v>0</v>
      </c>
      <c r="J14" s="19">
        <f t="shared" si="1"/>
        <v>5.28</v>
      </c>
      <c r="K14" s="19">
        <f>(VLOOKUP(B14,智育素质!B:D,3,0)*10+50)*0.6</f>
        <v>45.114</v>
      </c>
      <c r="L14" s="19">
        <f>SUMIFS(体育素质!J:J,体育素质!B:B,B14,体育素质!D:D,"=体育课程成绩",体育素质!E:E,"=体育成绩")/40</f>
        <v>3.55833333333333</v>
      </c>
      <c r="M14" s="19">
        <f>SUMIFS(体育素质!L:L,体育素质!B:B,B14,体育素质!D:D,"=校内外体育竞赛")</f>
        <v>0</v>
      </c>
      <c r="N14" s="19">
        <f>SUMIFS(体育素质!L:L,体育素质!B:B,B14,体育素质!D:D,"=校内外体育活动",体育素质!E:E,"=早锻炼")</f>
        <v>0</v>
      </c>
      <c r="O14" s="19">
        <f>SUMIFS(体育素质!L:L,体育素质!B:B,B14,体育素质!D:D,"=校内外体育活动",体育素质!E:E,"=校园跑")</f>
        <v>0</v>
      </c>
      <c r="P14" s="19">
        <f t="shared" si="2"/>
        <v>0</v>
      </c>
      <c r="Q14" s="19">
        <f t="shared" si="3"/>
        <v>3.55833333333333</v>
      </c>
      <c r="R14" s="19">
        <f>MIN(0.5,SUMIFS(美育素质!L:L,美育素质!B:B,B14,美育素质!D:D,"=文化艺术实践"))</f>
        <v>0</v>
      </c>
      <c r="S14" s="19">
        <f>SUMIFS(美育素质!L:L,美育素质!B:B,B14,美育素质!D:D,"=校内外文化艺术竞赛")</f>
        <v>0</v>
      </c>
      <c r="T14" s="19">
        <f t="shared" si="4"/>
        <v>0</v>
      </c>
      <c r="U14" s="19">
        <f>MAX(0,SUMIFS(劳育素质!K:K,劳育素质!B:B,B14,劳育素质!D:D,"=劳动日常考核基础分")+SUMIFS(劳育素质!K:K,劳育素质!B:B,B14,劳育素质!D:D,"=活动与卫生加减分"))</f>
        <v>1.484</v>
      </c>
      <c r="V14" s="19">
        <f>SUMIFS(劳育素质!K:K,劳育素质!B:B,B14,劳育素质!D:D,"=志愿服务",劳育素质!F:F,"=A类+B类")</f>
        <v>0</v>
      </c>
      <c r="W14" s="19">
        <f>SUMIFS(劳育素质!K:K,劳育素质!B:B,B14,劳育素质!D:D,"=志愿服务",劳育素质!F:F,"=C类")</f>
        <v>0</v>
      </c>
      <c r="X14" s="19">
        <f t="shared" si="5"/>
        <v>0</v>
      </c>
      <c r="Y14" s="19">
        <f>SUMIFS(劳育素质!K:K,劳育素质!B:B,B14,劳育素质!D:D,"=实习实训")</f>
        <v>0</v>
      </c>
      <c r="Z14" s="19">
        <f t="shared" si="6"/>
        <v>1.484</v>
      </c>
      <c r="AA14" s="19">
        <f>SUMIFS(创新与实践素质!L:L,创新与实践素质!B:B,B14,创新与实践素质!D:D,"=创新创业素质")</f>
        <v>0</v>
      </c>
      <c r="AB14" s="19">
        <f>SUMIFS(创新与实践素质!L:L,创新与实践素质!B:B,B14,创新与实践素质!D:D,"=水平考试")</f>
        <v>0</v>
      </c>
      <c r="AC14" s="19">
        <f>SUMIFS(创新与实践素质!L:L,创新与实践素质!B:B,B14,创新与实践素质!D:D,"=社会实践")</f>
        <v>0</v>
      </c>
      <c r="AD14" s="19">
        <f>_xlfn.MAXIFS(创新与实践素质!L:L,创新与实践素质!B:B,B14,创新与实践素质!D:D,"=社会工作能力（工作表现）",创新与实践素质!G:G,"=上学期")+_xlfn.MAXIFS(创新与实践素质!L:L,创新与实践素质!B:B,B14,创新与实践素质!D:D,"=社会工作能力（工作表现）",创新与实践素质!G:G,"=下学期")</f>
        <v>0</v>
      </c>
      <c r="AE14" s="19">
        <f t="shared" si="7"/>
        <v>0</v>
      </c>
      <c r="AF14" s="19">
        <f t="shared" si="8"/>
        <v>55.4363333333333</v>
      </c>
    </row>
    <row r="15" spans="1:32">
      <c r="A15" s="18" t="s">
        <v>9</v>
      </c>
      <c r="B15" s="18" t="s">
        <v>28</v>
      </c>
      <c r="C15" s="18"/>
      <c r="D15" s="19">
        <f>SUMIFS(德育素质!H:H,德育素质!B:B,B15,德育素质!D:D,"=基本评定分")</f>
        <v>5.28</v>
      </c>
      <c r="E15" s="19">
        <f>MIN(2,SUMIFS(德育素质!H:H,德育素质!A:A,A15,德育素质!D:D,"=集体评定等级分",德育素质!E:E,"=班级考评等级")+SUMIFS(德育素质!H:H,德育素质!B:B,B15,德育素质!D:D,"=集体评定等级分"))</f>
        <v>0</v>
      </c>
      <c r="F15" s="19">
        <f>MIN(2,SUMIFS(德育素质!H:H,德育素质!B:B,B15,德育素质!D:D,"=社会责任记实分"))</f>
        <v>0</v>
      </c>
      <c r="G15" s="19">
        <f>SUMIFS(德育素质!H:H,德育素质!B:B,B15,德育素质!D:D,"=违纪违规扣分")</f>
        <v>0</v>
      </c>
      <c r="H15" s="19">
        <f>SUMIFS(德育素质!H:H,德育素质!B:B,B15,德育素质!D:D,"=荣誉称号加分")</f>
        <v>0</v>
      </c>
      <c r="I15" s="19">
        <f t="shared" si="0"/>
        <v>0</v>
      </c>
      <c r="J15" s="19">
        <f t="shared" si="1"/>
        <v>5.28</v>
      </c>
      <c r="K15" s="19">
        <f>(VLOOKUP(B15,智育素质!B:D,3,0)*10+50)*0.6</f>
        <v>45.408</v>
      </c>
      <c r="L15" s="19">
        <f>SUMIFS(体育素质!J:J,体育素质!B:B,B15,体育素质!D:D,"=体育课程成绩",体育素质!E:E,"=体育成绩")/40</f>
        <v>3.875</v>
      </c>
      <c r="M15" s="19">
        <f>SUMIFS(体育素质!L:L,体育素质!B:B,B15,体育素质!D:D,"=校内外体育竞赛")</f>
        <v>0</v>
      </c>
      <c r="N15" s="19">
        <f>SUMIFS(体育素质!L:L,体育素质!B:B,B15,体育素质!D:D,"=校内外体育活动",体育素质!E:E,"=早锻炼")</f>
        <v>0</v>
      </c>
      <c r="O15" s="19">
        <f>SUMIFS(体育素质!L:L,体育素质!B:B,B15,体育素质!D:D,"=校内外体育活动",体育素质!E:E,"=校园跑")</f>
        <v>0</v>
      </c>
      <c r="P15" s="19">
        <f t="shared" si="2"/>
        <v>0</v>
      </c>
      <c r="Q15" s="19">
        <f t="shared" si="3"/>
        <v>3.875</v>
      </c>
      <c r="R15" s="19">
        <f>MIN(0.5,SUMIFS(美育素质!L:L,美育素质!B:B,B15,美育素质!D:D,"=文化艺术实践"))</f>
        <v>0</v>
      </c>
      <c r="S15" s="19">
        <f>SUMIFS(美育素质!L:L,美育素质!B:B,B15,美育素质!D:D,"=校内外文化艺术竞赛")</f>
        <v>0</v>
      </c>
      <c r="T15" s="19">
        <f t="shared" si="4"/>
        <v>0</v>
      </c>
      <c r="U15" s="19">
        <f>MAX(0,SUMIFS(劳育素质!K:K,劳育素质!B:B,B15,劳育素质!D:D,"=劳动日常考核基础分")+SUMIFS(劳育素质!K:K,劳育素质!B:B,B15,劳育素质!D:D,"=活动与卫生加减分"))</f>
        <v>1.428</v>
      </c>
      <c r="V15" s="19">
        <f>SUMIFS(劳育素质!K:K,劳育素质!B:B,B15,劳育素质!D:D,"=志愿服务",劳育素质!F:F,"=A类+B类")</f>
        <v>0</v>
      </c>
      <c r="W15" s="19">
        <f>SUMIFS(劳育素质!K:K,劳育素质!B:B,B15,劳育素质!D:D,"=志愿服务",劳育素质!F:F,"=C类")</f>
        <v>0</v>
      </c>
      <c r="X15" s="19">
        <f t="shared" si="5"/>
        <v>0</v>
      </c>
      <c r="Y15" s="19">
        <f>SUMIFS(劳育素质!K:K,劳育素质!B:B,B15,劳育素质!D:D,"=实习实训")</f>
        <v>0</v>
      </c>
      <c r="Z15" s="19">
        <f t="shared" si="6"/>
        <v>1.428</v>
      </c>
      <c r="AA15" s="19">
        <f>SUMIFS(创新与实践素质!L:L,创新与实践素质!B:B,B15,创新与实践素质!D:D,"=创新创业素质")</f>
        <v>0</v>
      </c>
      <c r="AB15" s="19">
        <f>SUMIFS(创新与实践素质!L:L,创新与实践素质!B:B,B15,创新与实践素质!D:D,"=水平考试")</f>
        <v>0</v>
      </c>
      <c r="AC15" s="19">
        <f>SUMIFS(创新与实践素质!L:L,创新与实践素质!B:B,B15,创新与实践素质!D:D,"=社会实践")</f>
        <v>0</v>
      </c>
      <c r="AD15" s="19">
        <f>_xlfn.MAXIFS(创新与实践素质!L:L,创新与实践素质!B:B,B15,创新与实践素质!D:D,"=社会工作能力（工作表现）",创新与实践素质!G:G,"=上学期")+_xlfn.MAXIFS(创新与实践素质!L:L,创新与实践素质!B:B,B15,创新与实践素质!D:D,"=社会工作能力（工作表现）",创新与实践素质!G:G,"=下学期")</f>
        <v>0</v>
      </c>
      <c r="AE15" s="19">
        <f t="shared" si="7"/>
        <v>0</v>
      </c>
      <c r="AF15" s="19">
        <f t="shared" si="8"/>
        <v>55.991</v>
      </c>
    </row>
    <row r="16" spans="1:32">
      <c r="A16" s="18" t="s">
        <v>9</v>
      </c>
      <c r="B16" s="18" t="s">
        <v>14</v>
      </c>
      <c r="C16" s="18"/>
      <c r="D16" s="19">
        <f>SUMIFS(德育素质!H:H,德育素质!B:B,B16,德育素质!D:D,"=基本评定分")</f>
        <v>5.28</v>
      </c>
      <c r="E16" s="19">
        <f>MIN(2,SUMIFS(德育素质!H:H,德育素质!A:A,A16,德育素质!D:D,"=集体评定等级分",德育素质!E:E,"=班级考评等级")+SUMIFS(德育素质!H:H,德育素质!B:B,B16,德育素质!D:D,"=集体评定等级分"))</f>
        <v>0</v>
      </c>
      <c r="F16" s="19">
        <f>MIN(2,SUMIFS(德育素质!H:H,德育素质!B:B,B16,德育素质!D:D,"=社会责任记实分"))</f>
        <v>0</v>
      </c>
      <c r="G16" s="19">
        <f>SUMIFS(德育素质!H:H,德育素质!B:B,B16,德育素质!D:D,"=违纪违规扣分")</f>
        <v>0</v>
      </c>
      <c r="H16" s="19">
        <f>SUMIFS(德育素质!H:H,德育素质!B:B,B16,德育素质!D:D,"=荣誉称号加分")</f>
        <v>0</v>
      </c>
      <c r="I16" s="19">
        <f t="shared" si="0"/>
        <v>0</v>
      </c>
      <c r="J16" s="19">
        <f t="shared" si="1"/>
        <v>5.28</v>
      </c>
      <c r="K16" s="19">
        <f>(VLOOKUP(B16,智育素质!B:D,3,0)*10+50)*0.6</f>
        <v>46.14</v>
      </c>
      <c r="L16" s="19">
        <f>SUMIFS(体育素质!J:J,体育素质!B:B,B16,体育素质!D:D,"=体育课程成绩",体育素质!E:E,"=体育成绩")/40</f>
        <v>3</v>
      </c>
      <c r="M16" s="19">
        <f>SUMIFS(体育素质!L:L,体育素质!B:B,B16,体育素质!D:D,"=校内外体育竞赛")</f>
        <v>0</v>
      </c>
      <c r="N16" s="19">
        <f>SUMIFS(体育素质!L:L,体育素质!B:B,B16,体育素质!D:D,"=校内外体育活动",体育素质!E:E,"=早锻炼")</f>
        <v>0</v>
      </c>
      <c r="O16" s="19">
        <f>SUMIFS(体育素质!L:L,体育素质!B:B,B16,体育素质!D:D,"=校内外体育活动",体育素质!E:E,"=校园跑")</f>
        <v>0</v>
      </c>
      <c r="P16" s="19">
        <f t="shared" si="2"/>
        <v>0</v>
      </c>
      <c r="Q16" s="19">
        <f t="shared" si="3"/>
        <v>3</v>
      </c>
      <c r="R16" s="19">
        <f>MIN(0.5,SUMIFS(美育素质!L:L,美育素质!B:B,B16,美育素质!D:D,"=文化艺术实践"))</f>
        <v>0</v>
      </c>
      <c r="S16" s="19">
        <f>SUMIFS(美育素质!L:L,美育素质!B:B,B16,美育素质!D:D,"=校内外文化艺术竞赛")</f>
        <v>0</v>
      </c>
      <c r="T16" s="19">
        <f t="shared" si="4"/>
        <v>0</v>
      </c>
      <c r="U16" s="19">
        <f>MAX(0,SUMIFS(劳育素质!K:K,劳育素质!B:B,B16,劳育素质!D:D,"=劳动日常考核基础分")+SUMIFS(劳育素质!K:K,劳育素质!B:B,B16,劳育素质!D:D,"=活动与卫生加减分"))</f>
        <v>1.399</v>
      </c>
      <c r="V16" s="19">
        <f>SUMIFS(劳育素质!K:K,劳育素质!B:B,B16,劳育素质!D:D,"=志愿服务",劳育素质!F:F,"=A类+B类")</f>
        <v>0</v>
      </c>
      <c r="W16" s="19">
        <f>SUMIFS(劳育素质!K:K,劳育素质!B:B,B16,劳育素质!D:D,"=志愿服务",劳育素质!F:F,"=C类")</f>
        <v>0</v>
      </c>
      <c r="X16" s="19">
        <f t="shared" si="5"/>
        <v>0</v>
      </c>
      <c r="Y16" s="19">
        <f>SUMIFS(劳育素质!K:K,劳育素质!B:B,B16,劳育素质!D:D,"=实习实训")</f>
        <v>0</v>
      </c>
      <c r="Z16" s="19">
        <f t="shared" si="6"/>
        <v>1.399</v>
      </c>
      <c r="AA16" s="19">
        <f>SUMIFS(创新与实践素质!L:L,创新与实践素质!B:B,B16,创新与实践素质!D:D,"=创新创业素质")</f>
        <v>0</v>
      </c>
      <c r="AB16" s="19">
        <f>SUMIFS(创新与实践素质!L:L,创新与实践素质!B:B,B16,创新与实践素质!D:D,"=水平考试")</f>
        <v>0</v>
      </c>
      <c r="AC16" s="19">
        <f>SUMIFS(创新与实践素质!L:L,创新与实践素质!B:B,B16,创新与实践素质!D:D,"=社会实践")</f>
        <v>0</v>
      </c>
      <c r="AD16" s="19">
        <f>_xlfn.MAXIFS(创新与实践素质!L:L,创新与实践素质!B:B,B16,创新与实践素质!D:D,"=社会工作能力（工作表现）",创新与实践素质!G:G,"=上学期")+_xlfn.MAXIFS(创新与实践素质!L:L,创新与实践素质!B:B,B16,创新与实践素质!D:D,"=社会工作能力（工作表现）",创新与实践素质!G:G,"=下学期")</f>
        <v>0</v>
      </c>
      <c r="AE16" s="19">
        <f t="shared" si="7"/>
        <v>0</v>
      </c>
      <c r="AF16" s="19">
        <f t="shared" si="8"/>
        <v>55.819</v>
      </c>
    </row>
    <row r="17" spans="1:32">
      <c r="A17" s="18" t="s">
        <v>9</v>
      </c>
      <c r="B17" s="18" t="s">
        <v>29</v>
      </c>
      <c r="C17" s="18"/>
      <c r="D17" s="19">
        <f>SUMIFS(德育素质!H:H,德育素质!B:B,B17,德育素质!D:D,"=基本评定分")</f>
        <v>5.28</v>
      </c>
      <c r="E17" s="19">
        <f>MIN(2,SUMIFS(德育素质!H:H,德育素质!A:A,A17,德育素质!D:D,"=集体评定等级分",德育素质!E:E,"=班级考评等级")+SUMIFS(德育素质!H:H,德育素质!B:B,B17,德育素质!D:D,"=集体评定等级分"))</f>
        <v>0</v>
      </c>
      <c r="F17" s="19">
        <f>MIN(2,SUMIFS(德育素质!H:H,德育素质!B:B,B17,德育素质!D:D,"=社会责任记实分"))</f>
        <v>0</v>
      </c>
      <c r="G17" s="19">
        <f>SUMIFS(德育素质!H:H,德育素质!B:B,B17,德育素质!D:D,"=违纪违规扣分")</f>
        <v>0</v>
      </c>
      <c r="H17" s="19">
        <f>SUMIFS(德育素质!H:H,德育素质!B:B,B17,德育素质!D:D,"=荣誉称号加分")</f>
        <v>0</v>
      </c>
      <c r="I17" s="19">
        <f t="shared" si="0"/>
        <v>0</v>
      </c>
      <c r="J17" s="19">
        <f t="shared" si="1"/>
        <v>5.28</v>
      </c>
      <c r="K17" s="19">
        <f>(VLOOKUP(B17,智育素质!B:D,3,0)*10+50)*0.6</f>
        <v>33.738</v>
      </c>
      <c r="L17" s="19">
        <f>SUMIFS(体育素质!J:J,体育素质!B:B,B17,体育素质!D:D,"=体育课程成绩",体育素质!E:E,"=体育成绩")/40</f>
        <v>3.63</v>
      </c>
      <c r="M17" s="19">
        <f>SUMIFS(体育素质!L:L,体育素质!B:B,B17,体育素质!D:D,"=校内外体育竞赛")</f>
        <v>0</v>
      </c>
      <c r="N17" s="19">
        <f>SUMIFS(体育素质!L:L,体育素质!B:B,B17,体育素质!D:D,"=校内外体育活动",体育素质!E:E,"=早锻炼")</f>
        <v>0</v>
      </c>
      <c r="O17" s="19">
        <f>SUMIFS(体育素质!L:L,体育素质!B:B,B17,体育素质!D:D,"=校内外体育活动",体育素质!E:E,"=校园跑")</f>
        <v>0</v>
      </c>
      <c r="P17" s="19">
        <f t="shared" si="2"/>
        <v>0</v>
      </c>
      <c r="Q17" s="19">
        <f t="shared" si="3"/>
        <v>3.63</v>
      </c>
      <c r="R17" s="19">
        <f>MIN(0.5,SUMIFS(美育素质!L:L,美育素质!B:B,B17,美育素质!D:D,"=文化艺术实践"))</f>
        <v>0</v>
      </c>
      <c r="S17" s="19">
        <f>SUMIFS(美育素质!L:L,美育素质!B:B,B17,美育素质!D:D,"=校内外文化艺术竞赛")</f>
        <v>0</v>
      </c>
      <c r="T17" s="19">
        <f t="shared" si="4"/>
        <v>0</v>
      </c>
      <c r="U17" s="19">
        <f>MAX(0,SUMIFS(劳育素质!K:K,劳育素质!B:B,B17,劳育素质!D:D,"=劳动日常考核基础分")+SUMIFS(劳育素质!K:K,劳育素质!B:B,B17,劳育素质!D:D,"=活动与卫生加减分"))</f>
        <v>1.428</v>
      </c>
      <c r="V17" s="19">
        <f>SUMIFS(劳育素质!K:K,劳育素质!B:B,B17,劳育素质!D:D,"=志愿服务",劳育素质!F:F,"=A类+B类")</f>
        <v>0</v>
      </c>
      <c r="W17" s="19">
        <f>SUMIFS(劳育素质!K:K,劳育素质!B:B,B17,劳育素质!D:D,"=志愿服务",劳育素质!F:F,"=C类")</f>
        <v>0</v>
      </c>
      <c r="X17" s="19">
        <f t="shared" si="5"/>
        <v>0</v>
      </c>
      <c r="Y17" s="19">
        <f>SUMIFS(劳育素质!K:K,劳育素质!B:B,B17,劳育素质!D:D,"=实习实训")</f>
        <v>0</v>
      </c>
      <c r="Z17" s="19">
        <f t="shared" si="6"/>
        <v>1.428</v>
      </c>
      <c r="AA17" s="19">
        <f>SUMIFS(创新与实践素质!L:L,创新与实践素质!B:B,B17,创新与实践素质!D:D,"=创新创业素质")</f>
        <v>0</v>
      </c>
      <c r="AB17" s="19">
        <f>SUMIFS(创新与实践素质!L:L,创新与实践素质!B:B,B17,创新与实践素质!D:D,"=水平考试")</f>
        <v>0</v>
      </c>
      <c r="AC17" s="19">
        <f>SUMIFS(创新与实践素质!L:L,创新与实践素质!B:B,B17,创新与实践素质!D:D,"=社会实践")</f>
        <v>0</v>
      </c>
      <c r="AD17" s="19">
        <f>_xlfn.MAXIFS(创新与实践素质!L:L,创新与实践素质!B:B,B17,创新与实践素质!D:D,"=社会工作能力（工作表现）",创新与实践素质!G:G,"=上学期")+_xlfn.MAXIFS(创新与实践素质!L:L,创新与实践素质!B:B,B17,创新与实践素质!D:D,"=社会工作能力（工作表现）",创新与实践素质!G:G,"=下学期")</f>
        <v>0</v>
      </c>
      <c r="AE17" s="19">
        <f t="shared" si="7"/>
        <v>0</v>
      </c>
      <c r="AF17" s="19">
        <f t="shared" si="8"/>
        <v>44.076</v>
      </c>
    </row>
    <row r="18" spans="1:32">
      <c r="A18" s="18" t="s">
        <v>9</v>
      </c>
      <c r="B18" s="18" t="s">
        <v>30</v>
      </c>
      <c r="C18" s="18"/>
      <c r="D18" s="19">
        <f>SUMIFS(德育素质!H:H,德育素质!B:B,B18,德育素质!D:D,"=基本评定分")</f>
        <v>6</v>
      </c>
      <c r="E18" s="19">
        <f>MIN(2,SUMIFS(德育素质!H:H,德育素质!A:A,A18,德育素质!D:D,"=集体评定等级分",德育素质!E:E,"=班级考评等级")+SUMIFS(德育素质!H:H,德育素质!B:B,B18,德育素质!D:D,"=集体评定等级分"))</f>
        <v>0</v>
      </c>
      <c r="F18" s="19">
        <f>MIN(2,SUMIFS(德育素质!H:H,德育素质!B:B,B18,德育素质!D:D,"=社会责任记实分"))</f>
        <v>0</v>
      </c>
      <c r="G18" s="19">
        <f>SUMIFS(德育素质!H:H,德育素质!B:B,B18,德育素质!D:D,"=违纪违规扣分")</f>
        <v>0</v>
      </c>
      <c r="H18" s="19">
        <f>SUMIFS(德育素质!H:H,德育素质!B:B,B18,德育素质!D:D,"=荣誉称号加分")</f>
        <v>0</v>
      </c>
      <c r="I18" s="19">
        <f t="shared" si="0"/>
        <v>0</v>
      </c>
      <c r="J18" s="19">
        <f t="shared" si="1"/>
        <v>6</v>
      </c>
      <c r="K18" s="19">
        <f>(VLOOKUP(B18,智育素质!B:D,3,0)*10+50)*0.6</f>
        <v>51.906</v>
      </c>
      <c r="L18" s="19">
        <f>SUMIFS(体育素质!J:J,体育素质!B:B,B18,体育素质!D:D,"=体育课程成绩",体育素质!E:E,"=体育成绩")/40</f>
        <v>4.4</v>
      </c>
      <c r="M18" s="19">
        <f>SUMIFS(体育素质!L:L,体育素质!B:B,B18,体育素质!D:D,"=校内外体育竞赛")</f>
        <v>0</v>
      </c>
      <c r="N18" s="19">
        <f>SUMIFS(体育素质!L:L,体育素质!B:B,B18,体育素质!D:D,"=校内外体育活动",体育素质!E:E,"=早锻炼")</f>
        <v>0</v>
      </c>
      <c r="O18" s="19">
        <f>SUMIFS(体育素质!L:L,体育素质!B:B,B18,体育素质!D:D,"=校内外体育活动",体育素质!E:E,"=校园跑")</f>
        <v>0.8165625</v>
      </c>
      <c r="P18" s="19">
        <f t="shared" si="2"/>
        <v>0.8165625</v>
      </c>
      <c r="Q18" s="19">
        <f t="shared" si="3"/>
        <v>5.2165625</v>
      </c>
      <c r="R18" s="19">
        <f>MIN(0.5,SUMIFS(美育素质!L:L,美育素质!B:B,B18,美育素质!D:D,"=文化艺术实践"))</f>
        <v>0</v>
      </c>
      <c r="S18" s="19">
        <f>SUMIFS(美育素质!L:L,美育素质!B:B,B18,美育素质!D:D,"=校内外文化艺术竞赛")</f>
        <v>0.1</v>
      </c>
      <c r="T18" s="19">
        <f t="shared" si="4"/>
        <v>0.1</v>
      </c>
      <c r="U18" s="19">
        <f>MAX(0,SUMIFS(劳育素质!K:K,劳育素质!B:B,B18,劳育素质!D:D,"=劳动日常考核基础分")+SUMIFS(劳育素质!K:K,劳育素质!B:B,B18,劳育素质!D:D,"=活动与卫生加减分"))</f>
        <v>1.59186666666667</v>
      </c>
      <c r="V18" s="19">
        <f>SUMIFS(劳育素质!K:K,劳育素质!B:B,B18,劳育素质!D:D,"=志愿服务",劳育素质!F:F,"=A类+B类")</f>
        <v>1.8</v>
      </c>
      <c r="W18" s="19">
        <f>SUMIFS(劳育素质!K:K,劳育素质!B:B,B18,劳育素质!D:D,"=志愿服务",劳育素质!F:F,"=C类")</f>
        <v>0</v>
      </c>
      <c r="X18" s="19">
        <f t="shared" si="5"/>
        <v>1.8</v>
      </c>
      <c r="Y18" s="19">
        <f>SUMIFS(劳育素质!K:K,劳育素质!B:B,B18,劳育素质!D:D,"=实习实训")</f>
        <v>0</v>
      </c>
      <c r="Z18" s="19">
        <f t="shared" si="6"/>
        <v>3.39186666666667</v>
      </c>
      <c r="AA18" s="19">
        <f>SUMIFS(创新与实践素质!L:L,创新与实践素质!B:B,B18,创新与实践素质!D:D,"=创新创业素质")</f>
        <v>0</v>
      </c>
      <c r="AB18" s="19">
        <f>SUMIFS(创新与实践素质!L:L,创新与实践素质!B:B,B18,创新与实践素质!D:D,"=水平考试")</f>
        <v>0</v>
      </c>
      <c r="AC18" s="19">
        <f>SUMIFS(创新与实践素质!L:L,创新与实践素质!B:B,B18,创新与实践素质!D:D,"=社会实践")</f>
        <v>1</v>
      </c>
      <c r="AD18" s="19">
        <f>_xlfn.MAXIFS(创新与实践素质!L:L,创新与实践素质!B:B,B18,创新与实践素质!D:D,"=社会工作能力（工作表现）",创新与实践素质!G:G,"=上学期")+_xlfn.MAXIFS(创新与实践素质!L:L,创新与实践素质!B:B,B18,创新与实践素质!D:D,"=社会工作能力（工作表现）",创新与实践素质!G:G,"=下学期")</f>
        <v>0</v>
      </c>
      <c r="AE18" s="19">
        <f t="shared" si="7"/>
        <v>1</v>
      </c>
      <c r="AF18" s="19">
        <f t="shared" si="8"/>
        <v>67.6144291666667</v>
      </c>
    </row>
    <row r="19" spans="1:32">
      <c r="A19" s="18" t="s">
        <v>9</v>
      </c>
      <c r="B19" s="18" t="s">
        <v>15</v>
      </c>
      <c r="C19" s="18"/>
      <c r="D19" s="19">
        <f>SUMIFS(德育素质!H:H,德育素质!B:B,B19,德育素质!D:D,"=基本评定分")</f>
        <v>5.28</v>
      </c>
      <c r="E19" s="19">
        <f>MIN(2,SUMIFS(德育素质!H:H,德育素质!A:A,A19,德育素质!D:D,"=集体评定等级分",德育素质!E:E,"=班级考评等级")+SUMIFS(德育素质!H:H,德育素质!B:B,B19,德育素质!D:D,"=集体评定等级分"))</f>
        <v>0</v>
      </c>
      <c r="F19" s="19">
        <f>MIN(2,SUMIFS(德育素质!H:H,德育素质!B:B,B19,德育素质!D:D,"=社会责任记实分"))</f>
        <v>0</v>
      </c>
      <c r="G19" s="19">
        <f>SUMIFS(德育素质!H:H,德育素质!B:B,B19,德育素质!D:D,"=违纪违规扣分")</f>
        <v>0</v>
      </c>
      <c r="H19" s="19">
        <f>SUMIFS(德育素质!H:H,德育素质!B:B,B19,德育素质!D:D,"=荣誉称号加分")</f>
        <v>0</v>
      </c>
      <c r="I19" s="19">
        <f t="shared" si="0"/>
        <v>0</v>
      </c>
      <c r="J19" s="19">
        <f t="shared" si="1"/>
        <v>5.28</v>
      </c>
      <c r="K19" s="19">
        <f>(VLOOKUP(B19,智育素质!B:D,3,0)*10+50)*0.6</f>
        <v>49.32</v>
      </c>
      <c r="L19" s="19">
        <f>SUMIFS(体育素质!J:J,体育素质!B:B,B19,体育素质!D:D,"=体育课程成绩",体育素质!E:E,"=体育成绩")/40</f>
        <v>1.675</v>
      </c>
      <c r="M19" s="19">
        <f>SUMIFS(体育素质!L:L,体育素质!B:B,B19,体育素质!D:D,"=校内外体育竞赛")</f>
        <v>0</v>
      </c>
      <c r="N19" s="19">
        <f>SUMIFS(体育素质!L:L,体育素质!B:B,B19,体育素质!D:D,"=校内外体育活动",体育素质!E:E,"=早锻炼")</f>
        <v>0</v>
      </c>
      <c r="O19" s="19">
        <f>SUMIFS(体育素质!L:L,体育素质!B:B,B19,体育素质!D:D,"=校内外体育活动",体育素质!E:E,"=校园跑")</f>
        <v>0</v>
      </c>
      <c r="P19" s="19">
        <f t="shared" si="2"/>
        <v>0</v>
      </c>
      <c r="Q19" s="19">
        <f t="shared" si="3"/>
        <v>1.675</v>
      </c>
      <c r="R19" s="19">
        <f>MIN(0.5,SUMIFS(美育素质!L:L,美育素质!B:B,B19,美育素质!D:D,"=文化艺术实践"))</f>
        <v>0</v>
      </c>
      <c r="S19" s="19">
        <f>SUMIFS(美育素质!L:L,美育素质!B:B,B19,美育素质!D:D,"=校内外文化艺术竞赛")</f>
        <v>0</v>
      </c>
      <c r="T19" s="19">
        <f t="shared" si="4"/>
        <v>0</v>
      </c>
      <c r="U19" s="19">
        <f>MAX(0,SUMIFS(劳育素质!K:K,劳育素质!B:B,B19,劳育素质!D:D,"=劳动日常考核基础分")+SUMIFS(劳育素质!K:K,劳育素质!B:B,B19,劳育素质!D:D,"=活动与卫生加减分"))</f>
        <v>1.399</v>
      </c>
      <c r="V19" s="19">
        <f>SUMIFS(劳育素质!K:K,劳育素质!B:B,B19,劳育素质!D:D,"=志愿服务",劳育素质!F:F,"=A类+B类")</f>
        <v>0</v>
      </c>
      <c r="W19" s="19">
        <f>SUMIFS(劳育素质!K:K,劳育素质!B:B,B19,劳育素质!D:D,"=志愿服务",劳育素质!F:F,"=C类")</f>
        <v>0</v>
      </c>
      <c r="X19" s="19">
        <f t="shared" si="5"/>
        <v>0</v>
      </c>
      <c r="Y19" s="19">
        <f>SUMIFS(劳育素质!K:K,劳育素质!B:B,B19,劳育素质!D:D,"=实习实训")</f>
        <v>0</v>
      </c>
      <c r="Z19" s="19">
        <f t="shared" si="6"/>
        <v>1.399</v>
      </c>
      <c r="AA19" s="19">
        <f>SUMIFS(创新与实践素质!L:L,创新与实践素质!B:B,B19,创新与实践素质!D:D,"=创新创业素质")</f>
        <v>0</v>
      </c>
      <c r="AB19" s="19">
        <f>SUMIFS(创新与实践素质!L:L,创新与实践素质!B:B,B19,创新与实践素质!D:D,"=水平考试")</f>
        <v>0</v>
      </c>
      <c r="AC19" s="19">
        <f>SUMIFS(创新与实践素质!L:L,创新与实践素质!B:B,B19,创新与实践素质!D:D,"=社会实践")</f>
        <v>0</v>
      </c>
      <c r="AD19" s="19">
        <f>_xlfn.MAXIFS(创新与实践素质!L:L,创新与实践素质!B:B,B19,创新与实践素质!D:D,"=社会工作能力（工作表现）",创新与实践素质!G:G,"=上学期")+_xlfn.MAXIFS(创新与实践素质!L:L,创新与实践素质!B:B,B19,创新与实践素质!D:D,"=社会工作能力（工作表现）",创新与实践素质!G:G,"=下学期")</f>
        <v>0</v>
      </c>
      <c r="AE19" s="19">
        <f t="shared" si="7"/>
        <v>0</v>
      </c>
      <c r="AF19" s="19">
        <f t="shared" si="8"/>
        <v>57.674</v>
      </c>
    </row>
    <row r="20" spans="1:32">
      <c r="A20" s="18" t="s">
        <v>9</v>
      </c>
      <c r="B20" s="18" t="s">
        <v>34</v>
      </c>
      <c r="C20" s="18"/>
      <c r="D20" s="19">
        <f>SUMIFS(德育素质!H:H,德育素质!B:B,B20,德育素质!D:D,"=基本评定分")</f>
        <v>6</v>
      </c>
      <c r="E20" s="19">
        <f>MIN(2,SUMIFS(德育素质!H:H,德育素质!A:A,A20,德育素质!D:D,"=集体评定等级分",德育素质!E:E,"=班级考评等级")+SUMIFS(德育素质!H:H,德育素质!B:B,B20,德育素质!D:D,"=集体评定等级分"))</f>
        <v>0</v>
      </c>
      <c r="F20" s="19">
        <f>MIN(2,SUMIFS(德育素质!H:H,德育素质!B:B,B20,德育素质!D:D,"=社会责任记实分"))</f>
        <v>0</v>
      </c>
      <c r="G20" s="19">
        <f>SUMIFS(德育素质!H:H,德育素质!B:B,B20,德育素质!D:D,"=违纪违规扣分")</f>
        <v>0</v>
      </c>
      <c r="H20" s="19">
        <f>SUMIFS(德育素质!H:H,德育素质!B:B,B20,德育素质!D:D,"=荣誉称号加分")</f>
        <v>0.25</v>
      </c>
      <c r="I20" s="19">
        <f t="shared" si="0"/>
        <v>0.25</v>
      </c>
      <c r="J20" s="19">
        <f t="shared" si="1"/>
        <v>6.25</v>
      </c>
      <c r="K20" s="19">
        <f>(VLOOKUP(B20,智育素质!B:D,3,0)*10+50)*0.6</f>
        <v>54.702</v>
      </c>
      <c r="L20" s="19">
        <f>SUMIFS(体育素质!J:J,体育素质!B:B,B20,体育素质!D:D,"=体育课程成绩",体育素质!E:E,"=体育成绩")/40</f>
        <v>4.74</v>
      </c>
      <c r="M20" s="19">
        <f>SUMIFS(体育素质!L:L,体育素质!B:B,B20,体育素质!D:D,"=校内外体育竞赛")</f>
        <v>0</v>
      </c>
      <c r="N20" s="19">
        <f>SUMIFS(体育素质!L:L,体育素质!B:B,B20,体育素质!D:D,"=校内外体育活动",体育素质!E:E,"=早锻炼")</f>
        <v>0</v>
      </c>
      <c r="O20" s="19">
        <f>SUMIFS(体育素质!L:L,体育素质!B:B,B20,体育素质!D:D,"=校内外体育活动",体育素质!E:E,"=校园跑")</f>
        <v>1</v>
      </c>
      <c r="P20" s="19">
        <f t="shared" si="2"/>
        <v>1</v>
      </c>
      <c r="Q20" s="19">
        <f t="shared" si="3"/>
        <v>5.74</v>
      </c>
      <c r="R20" s="19">
        <f>MIN(0.5,SUMIFS(美育素质!L:L,美育素质!B:B,B20,美育素质!D:D,"=文化艺术实践"))</f>
        <v>0</v>
      </c>
      <c r="S20" s="19">
        <f>SUMIFS(美育素质!L:L,美育素质!B:B,B20,美育素质!D:D,"=校内外文化艺术竞赛")</f>
        <v>0.25</v>
      </c>
      <c r="T20" s="19">
        <f t="shared" si="4"/>
        <v>0.25</v>
      </c>
      <c r="U20" s="19">
        <f>MAX(0,SUMIFS(劳育素质!K:K,劳育素质!B:B,B20,劳育素质!D:D,"=劳动日常考核基础分")+SUMIFS(劳育素质!K:K,劳育素质!B:B,B20,劳育素质!D:D,"=活动与卫生加减分"))</f>
        <v>1.45651587301587</v>
      </c>
      <c r="V20" s="19">
        <f>SUMIFS(劳育素质!K:K,劳育素质!B:B,B20,劳育素质!D:D,"=志愿服务",劳育素质!F:F,"=A类+B类")</f>
        <v>1.1</v>
      </c>
      <c r="W20" s="19">
        <f>SUMIFS(劳育素质!K:K,劳育素质!B:B,B20,劳育素质!D:D,"=志愿服务",劳育素质!F:F,"=C类")</f>
        <v>0</v>
      </c>
      <c r="X20" s="19">
        <f t="shared" si="5"/>
        <v>1.1</v>
      </c>
      <c r="Y20" s="19">
        <f>SUMIFS(劳育素质!K:K,劳育素质!B:B,B20,劳育素质!D:D,"=实习实训")</f>
        <v>0</v>
      </c>
      <c r="Z20" s="19">
        <f t="shared" si="6"/>
        <v>2.55651587301587</v>
      </c>
      <c r="AA20" s="19">
        <f>SUMIFS(创新与实践素质!L:L,创新与实践素质!B:B,B20,创新与实践素质!D:D,"=创新创业素质")</f>
        <v>0</v>
      </c>
      <c r="AB20" s="19">
        <f>SUMIFS(创新与实践素质!L:L,创新与实践素质!B:B,B20,创新与实践素质!D:D,"=水平考试")</f>
        <v>0</v>
      </c>
      <c r="AC20" s="19">
        <f>SUMIFS(创新与实践素质!L:L,创新与实践素质!B:B,B20,创新与实践素质!D:D,"=社会实践")</f>
        <v>0</v>
      </c>
      <c r="AD20" s="19">
        <f>_xlfn.MAXIFS(创新与实践素质!L:L,创新与实践素质!B:B,B20,创新与实践素质!D:D,"=社会工作能力（工作表现）",创新与实践素质!G:G,"=上学期")+_xlfn.MAXIFS(创新与实践素质!L:L,创新与实践素质!B:B,B20,创新与实践素质!D:D,"=社会工作能力（工作表现）",创新与实践素质!G:G,"=下学期")</f>
        <v>0.8</v>
      </c>
      <c r="AE20" s="19">
        <f t="shared" si="7"/>
        <v>0.8</v>
      </c>
      <c r="AF20" s="19">
        <f t="shared" si="8"/>
        <v>70.2985158730159</v>
      </c>
    </row>
    <row r="21" spans="1:32">
      <c r="A21" s="18" t="s">
        <v>9</v>
      </c>
      <c r="B21" s="18" t="s">
        <v>25</v>
      </c>
      <c r="C21" s="18"/>
      <c r="D21" s="19">
        <f>SUMIFS(德育素质!H:H,德育素质!B:B,B21,德育素质!D:D,"=基本评定分")</f>
        <v>5.28</v>
      </c>
      <c r="E21" s="19">
        <f>MIN(2,SUMIFS(德育素质!H:H,德育素质!A:A,A21,德育素质!D:D,"=集体评定等级分",德育素质!E:E,"=班级考评等级")+SUMIFS(德育素质!H:H,德育素质!B:B,B21,德育素质!D:D,"=集体评定等级分"))</f>
        <v>0</v>
      </c>
      <c r="F21" s="19">
        <f>MIN(2,SUMIFS(德育素质!H:H,德育素质!B:B,B21,德育素质!D:D,"=社会责任记实分"))</f>
        <v>0</v>
      </c>
      <c r="G21" s="19">
        <f>SUMIFS(德育素质!H:H,德育素质!B:B,B21,德育素质!D:D,"=违纪违规扣分")</f>
        <v>0</v>
      </c>
      <c r="H21" s="19">
        <f>SUMIFS(德育素质!H:H,德育素质!B:B,B21,德育素质!D:D,"=荣誉称号加分")</f>
        <v>0</v>
      </c>
      <c r="I21" s="19">
        <f t="shared" si="0"/>
        <v>0</v>
      </c>
      <c r="J21" s="19">
        <f t="shared" si="1"/>
        <v>5.28</v>
      </c>
      <c r="K21" s="19">
        <f>(VLOOKUP(B21,智育素质!B:D,3,0)*10+50)*0.6</f>
        <v>46.926</v>
      </c>
      <c r="L21" s="19">
        <f>SUMIFS(体育素质!J:J,体育素质!B:B,B21,体育素质!D:D,"=体育课程成绩",体育素质!E:E,"=体育成绩")/40</f>
        <v>2.72083333333333</v>
      </c>
      <c r="M21" s="19">
        <f>SUMIFS(体育素质!L:L,体育素质!B:B,B21,体育素质!D:D,"=校内外体育竞赛")</f>
        <v>0</v>
      </c>
      <c r="N21" s="19">
        <f>SUMIFS(体育素质!L:L,体育素质!B:B,B21,体育素质!D:D,"=校内外体育活动",体育素质!E:E,"=早锻炼")</f>
        <v>0</v>
      </c>
      <c r="O21" s="19">
        <f>SUMIFS(体育素质!L:L,体育素质!B:B,B21,体育素质!D:D,"=校内外体育活动",体育素质!E:E,"=校园跑")</f>
        <v>0</v>
      </c>
      <c r="P21" s="19">
        <f t="shared" si="2"/>
        <v>0</v>
      </c>
      <c r="Q21" s="19">
        <f t="shared" si="3"/>
        <v>2.72083333333333</v>
      </c>
      <c r="R21" s="19">
        <f>MIN(0.5,SUMIFS(美育素质!L:L,美育素质!B:B,B21,美育素质!D:D,"=文化艺术实践"))</f>
        <v>0</v>
      </c>
      <c r="S21" s="19">
        <f>SUMIFS(美育素质!L:L,美育素质!B:B,B21,美育素质!D:D,"=校内外文化艺术竞赛")</f>
        <v>0</v>
      </c>
      <c r="T21" s="19">
        <f t="shared" si="4"/>
        <v>0</v>
      </c>
      <c r="U21" s="19">
        <f>MAX(0,SUMIFS(劳育素质!K:K,劳育素质!B:B,B21,劳育素质!D:D,"=劳动日常考核基础分")+SUMIFS(劳育素质!K:K,劳育素质!B:B,B21,劳育素质!D:D,"=活动与卫生加减分"))</f>
        <v>1.3684</v>
      </c>
      <c r="V21" s="19">
        <f>SUMIFS(劳育素质!K:K,劳育素质!B:B,B21,劳育素质!D:D,"=志愿服务",劳育素质!F:F,"=A类+B类")</f>
        <v>0</v>
      </c>
      <c r="W21" s="19">
        <f>SUMIFS(劳育素质!K:K,劳育素质!B:B,B21,劳育素质!D:D,"=志愿服务",劳育素质!F:F,"=C类")</f>
        <v>0</v>
      </c>
      <c r="X21" s="19">
        <f t="shared" si="5"/>
        <v>0</v>
      </c>
      <c r="Y21" s="19">
        <f>SUMIFS(劳育素质!K:K,劳育素质!B:B,B21,劳育素质!D:D,"=实习实训")</f>
        <v>0</v>
      </c>
      <c r="Z21" s="19">
        <f t="shared" si="6"/>
        <v>1.3684</v>
      </c>
      <c r="AA21" s="19">
        <f>SUMIFS(创新与实践素质!L:L,创新与实践素质!B:B,B21,创新与实践素质!D:D,"=创新创业素质")</f>
        <v>0</v>
      </c>
      <c r="AB21" s="19">
        <f>SUMIFS(创新与实践素质!L:L,创新与实践素质!B:B,B21,创新与实践素质!D:D,"=水平考试")</f>
        <v>0</v>
      </c>
      <c r="AC21" s="19">
        <f>SUMIFS(创新与实践素质!L:L,创新与实践素质!B:B,B21,创新与实践素质!D:D,"=社会实践")</f>
        <v>0</v>
      </c>
      <c r="AD21" s="19">
        <f>_xlfn.MAXIFS(创新与实践素质!L:L,创新与实践素质!B:B,B21,创新与实践素质!D:D,"=社会工作能力（工作表现）",创新与实践素质!G:G,"=上学期")+_xlfn.MAXIFS(创新与实践素质!L:L,创新与实践素质!B:B,B21,创新与实践素质!D:D,"=社会工作能力（工作表现）",创新与实践素质!G:G,"=下学期")</f>
        <v>0.6</v>
      </c>
      <c r="AE21" s="19">
        <f t="shared" si="7"/>
        <v>0.6</v>
      </c>
      <c r="AF21" s="19">
        <f t="shared" si="8"/>
        <v>56.8952333333333</v>
      </c>
    </row>
    <row r="22" spans="1:32">
      <c r="A22" s="18" t="s">
        <v>9</v>
      </c>
      <c r="B22" s="18" t="s">
        <v>16</v>
      </c>
      <c r="C22" s="18"/>
      <c r="D22" s="19">
        <f>SUMIFS(德育素质!H:H,德育素质!B:B,B22,德育素质!D:D,"=基本评定分")</f>
        <v>6</v>
      </c>
      <c r="E22" s="19">
        <f>MIN(2,SUMIFS(德育素质!H:H,德育素质!A:A,A22,德育素质!D:D,"=集体评定等级分",德育素质!E:E,"=班级考评等级")+SUMIFS(德育素质!H:H,德育素质!B:B,B22,德育素质!D:D,"=集体评定等级分"))</f>
        <v>0</v>
      </c>
      <c r="F22" s="19">
        <f>MIN(2,SUMIFS(德育素质!H:H,德育素质!B:B,B22,德育素质!D:D,"=社会责任记实分"))</f>
        <v>0</v>
      </c>
      <c r="G22" s="19">
        <f>SUMIFS(德育素质!H:H,德育素质!B:B,B22,德育素质!D:D,"=违纪违规扣分")</f>
        <v>0</v>
      </c>
      <c r="H22" s="19">
        <f>SUMIFS(德育素质!H:H,德育素质!B:B,B22,德育素质!D:D,"=荣誉称号加分")</f>
        <v>0</v>
      </c>
      <c r="I22" s="19">
        <f t="shared" si="0"/>
        <v>0</v>
      </c>
      <c r="J22" s="19">
        <f t="shared" si="1"/>
        <v>6</v>
      </c>
      <c r="K22" s="19">
        <f>(VLOOKUP(B22,智育素质!B:D,3,0)*10+50)*0.6</f>
        <v>49.026</v>
      </c>
      <c r="L22" s="19">
        <f>SUMIFS(体育素质!J:J,体育素质!B:B,B22,体育素质!D:D,"=体育课程成绩",体育素质!E:E,"=体育成绩")/40</f>
        <v>3.815</v>
      </c>
      <c r="M22" s="19">
        <f>SUMIFS(体育素质!L:L,体育素质!B:B,B22,体育素质!D:D,"=校内外体育竞赛")</f>
        <v>0</v>
      </c>
      <c r="N22" s="19">
        <f>SUMIFS(体育素质!L:L,体育素质!B:B,B22,体育素质!D:D,"=校内外体育活动",体育素质!E:E,"=早锻炼")</f>
        <v>0</v>
      </c>
      <c r="O22" s="19">
        <f>SUMIFS(体育素质!L:L,体育素质!B:B,B22,体育素质!D:D,"=校内外体育活动",体育素质!E:E,"=校园跑")</f>
        <v>0.6586875</v>
      </c>
      <c r="P22" s="19">
        <f t="shared" si="2"/>
        <v>0.6586875</v>
      </c>
      <c r="Q22" s="19">
        <f t="shared" si="3"/>
        <v>4.4736875</v>
      </c>
      <c r="R22" s="19">
        <f>MIN(0.5,SUMIFS(美育素质!L:L,美育素质!B:B,B22,美育素质!D:D,"=文化艺术实践"))</f>
        <v>0</v>
      </c>
      <c r="S22" s="19">
        <f>SUMIFS(美育素质!L:L,美育素质!B:B,B22,美育素质!D:D,"=校内外文化艺术竞赛")</f>
        <v>0</v>
      </c>
      <c r="T22" s="19">
        <f t="shared" si="4"/>
        <v>0</v>
      </c>
      <c r="U22" s="19">
        <f>MAX(0,SUMIFS(劳育素质!K:K,劳育素质!B:B,B22,劳育素质!D:D,"=劳动日常考核基础分")+SUMIFS(劳育素质!K:K,劳育素质!B:B,B22,劳育素质!D:D,"=活动与卫生加减分"))</f>
        <v>1.52933333333333</v>
      </c>
      <c r="V22" s="19">
        <f>SUMIFS(劳育素质!K:K,劳育素质!B:B,B22,劳育素质!D:D,"=志愿服务",劳育素质!F:F,"=A类+B类")</f>
        <v>0.075</v>
      </c>
      <c r="W22" s="19">
        <f>SUMIFS(劳育素质!K:K,劳育素质!B:B,B22,劳育素质!D:D,"=志愿服务",劳育素质!F:F,"=C类")</f>
        <v>0</v>
      </c>
      <c r="X22" s="19">
        <f t="shared" si="5"/>
        <v>0.075</v>
      </c>
      <c r="Y22" s="19">
        <f>SUMIFS(劳育素质!K:K,劳育素质!B:B,B22,劳育素质!D:D,"=实习实训")</f>
        <v>0</v>
      </c>
      <c r="Z22" s="19">
        <f t="shared" si="6"/>
        <v>1.60433333333333</v>
      </c>
      <c r="AA22" s="19">
        <f>SUMIFS(创新与实践素质!L:L,创新与实践素质!B:B,B22,创新与实践素质!D:D,"=创新创业素质")</f>
        <v>0</v>
      </c>
      <c r="AB22" s="19">
        <f>SUMIFS(创新与实践素质!L:L,创新与实践素质!B:B,B22,创新与实践素质!D:D,"=水平考试")</f>
        <v>0</v>
      </c>
      <c r="AC22" s="19">
        <f>SUMIFS(创新与实践素质!L:L,创新与实践素质!B:B,B22,创新与实践素质!D:D,"=社会实践")</f>
        <v>0</v>
      </c>
      <c r="AD22" s="19">
        <f>_xlfn.MAXIFS(创新与实践素质!L:L,创新与实践素质!B:B,B22,创新与实践素质!D:D,"=社会工作能力（工作表现）",创新与实践素质!G:G,"=上学期")+_xlfn.MAXIFS(创新与实践素质!L:L,创新与实践素质!B:B,B22,创新与实践素质!D:D,"=社会工作能力（工作表现）",创新与实践素质!G:G,"=下学期")</f>
        <v>0</v>
      </c>
      <c r="AE22" s="19">
        <f t="shared" si="7"/>
        <v>0</v>
      </c>
      <c r="AF22" s="19">
        <f t="shared" si="8"/>
        <v>61.1040208333333</v>
      </c>
    </row>
    <row r="23" spans="1:32">
      <c r="A23" s="18" t="s">
        <v>9</v>
      </c>
      <c r="B23" s="18" t="s">
        <v>26</v>
      </c>
      <c r="C23" s="18"/>
      <c r="D23" s="19">
        <f>SUMIFS(德育素质!H:H,德育素质!B:B,B23,德育素质!D:D,"=基本评定分")</f>
        <v>5.28</v>
      </c>
      <c r="E23" s="19">
        <f>MIN(2,SUMIFS(德育素质!H:H,德育素质!A:A,A23,德育素质!D:D,"=集体评定等级分",德育素质!E:E,"=班级考评等级")+SUMIFS(德育素质!H:H,德育素质!B:B,B23,德育素质!D:D,"=集体评定等级分"))</f>
        <v>0</v>
      </c>
      <c r="F23" s="19">
        <f>MIN(2,SUMIFS(德育素质!H:H,德育素质!B:B,B23,德育素质!D:D,"=社会责任记实分"))</f>
        <v>0</v>
      </c>
      <c r="G23" s="19">
        <f>SUMIFS(德育素质!H:H,德育素质!B:B,B23,德育素质!D:D,"=违纪违规扣分")</f>
        <v>0</v>
      </c>
      <c r="H23" s="19">
        <f>SUMIFS(德育素质!H:H,德育素质!B:B,B23,德育素质!D:D,"=荣誉称号加分")</f>
        <v>0</v>
      </c>
      <c r="I23" s="19">
        <f t="shared" si="0"/>
        <v>0</v>
      </c>
      <c r="J23" s="19">
        <f t="shared" si="1"/>
        <v>5.28</v>
      </c>
      <c r="K23" s="19">
        <f>(VLOOKUP(B23,智育素质!B:D,3,0)*10+50)*0.6</f>
        <v>41.676</v>
      </c>
      <c r="L23" s="19">
        <f>SUMIFS(体育素质!J:J,体育素质!B:B,B23,体育素质!D:D,"=体育课程成绩",体育素质!E:E,"=体育成绩")/40</f>
        <v>3.45</v>
      </c>
      <c r="M23" s="19">
        <f>SUMIFS(体育素质!L:L,体育素质!B:B,B23,体育素质!D:D,"=校内外体育竞赛")</f>
        <v>0</v>
      </c>
      <c r="N23" s="19">
        <f>SUMIFS(体育素质!L:L,体育素质!B:B,B23,体育素质!D:D,"=校内外体育活动",体育素质!E:E,"=早锻炼")</f>
        <v>0</v>
      </c>
      <c r="O23" s="19">
        <f>SUMIFS(体育素质!L:L,体育素质!B:B,B23,体育素质!D:D,"=校内外体育活动",体育素质!E:E,"=校园跑")</f>
        <v>0</v>
      </c>
      <c r="P23" s="19">
        <f t="shared" si="2"/>
        <v>0</v>
      </c>
      <c r="Q23" s="19">
        <f t="shared" si="3"/>
        <v>3.45</v>
      </c>
      <c r="R23" s="19">
        <f>MIN(0.5,SUMIFS(美育素质!L:L,美育素质!B:B,B23,美育素质!D:D,"=文化艺术实践"))</f>
        <v>0</v>
      </c>
      <c r="S23" s="19">
        <f>SUMIFS(美育素质!L:L,美育素质!B:B,B23,美育素质!D:D,"=校内外文化艺术竞赛")</f>
        <v>0</v>
      </c>
      <c r="T23" s="19">
        <f t="shared" si="4"/>
        <v>0</v>
      </c>
      <c r="U23" s="19">
        <f>MAX(0,SUMIFS(劳育素质!K:K,劳育素质!B:B,B23,劳育素质!D:D,"=劳动日常考核基础分")+SUMIFS(劳育素质!K:K,劳育素质!B:B,B23,劳育素质!D:D,"=活动与卫生加减分"))</f>
        <v>1.57716666666667</v>
      </c>
      <c r="V23" s="19">
        <f>SUMIFS(劳育素质!K:K,劳育素质!B:B,B23,劳育素质!D:D,"=志愿服务",劳育素质!F:F,"=A类+B类")</f>
        <v>0</v>
      </c>
      <c r="W23" s="19">
        <f>SUMIFS(劳育素质!K:K,劳育素质!B:B,B23,劳育素质!D:D,"=志愿服务",劳育素质!F:F,"=C类")</f>
        <v>0</v>
      </c>
      <c r="X23" s="19">
        <f t="shared" si="5"/>
        <v>0</v>
      </c>
      <c r="Y23" s="19">
        <f>SUMIFS(劳育素质!K:K,劳育素质!B:B,B23,劳育素质!D:D,"=实习实训")</f>
        <v>0</v>
      </c>
      <c r="Z23" s="19">
        <f t="shared" si="6"/>
        <v>1.57716666666667</v>
      </c>
      <c r="AA23" s="19">
        <f>SUMIFS(创新与实践素质!L:L,创新与实践素质!B:B,B23,创新与实践素质!D:D,"=创新创业素质")</f>
        <v>0</v>
      </c>
      <c r="AB23" s="19">
        <f>SUMIFS(创新与实践素质!L:L,创新与实践素质!B:B,B23,创新与实践素质!D:D,"=水平考试")</f>
        <v>0</v>
      </c>
      <c r="AC23" s="19">
        <f>SUMIFS(创新与实践素质!L:L,创新与实践素质!B:B,B23,创新与实践素质!D:D,"=社会实践")</f>
        <v>0</v>
      </c>
      <c r="AD23" s="19">
        <f>_xlfn.MAXIFS(创新与实践素质!L:L,创新与实践素质!B:B,B23,创新与实践素质!D:D,"=社会工作能力（工作表现）",创新与实践素质!G:G,"=上学期")+_xlfn.MAXIFS(创新与实践素质!L:L,创新与实践素质!B:B,B23,创新与实践素质!D:D,"=社会工作能力（工作表现）",创新与实践素质!G:G,"=下学期")</f>
        <v>0</v>
      </c>
      <c r="AE23" s="19">
        <f t="shared" si="7"/>
        <v>0</v>
      </c>
      <c r="AF23" s="19">
        <f t="shared" si="8"/>
        <v>51.9831666666667</v>
      </c>
    </row>
    <row r="24" spans="1:32">
      <c r="A24" s="18" t="s">
        <v>9</v>
      </c>
      <c r="B24" s="18" t="s">
        <v>10</v>
      </c>
      <c r="C24" s="18"/>
      <c r="D24" s="19">
        <f>SUMIFS(德育素质!H:H,德育素质!B:B,B24,德育素质!D:D,"=基本评定分")</f>
        <v>5.28</v>
      </c>
      <c r="E24" s="19">
        <f>MIN(2,SUMIFS(德育素质!H:H,德育素质!A:A,A24,德育素质!D:D,"=集体评定等级分",德育素质!E:E,"=班级考评等级")+SUMIFS(德育素质!H:H,德育素质!B:B,B24,德育素质!D:D,"=集体评定等级分"))</f>
        <v>0</v>
      </c>
      <c r="F24" s="19">
        <f>MIN(2,SUMIFS(德育素质!H:H,德育素质!B:B,B24,德育素质!D:D,"=社会责任记实分"))</f>
        <v>0</v>
      </c>
      <c r="G24" s="19">
        <f>SUMIFS(德育素质!H:H,德育素质!B:B,B24,德育素质!D:D,"=违纪违规扣分")</f>
        <v>0</v>
      </c>
      <c r="H24" s="19">
        <f>SUMIFS(德育素质!H:H,德育素质!B:B,B24,德育素质!D:D,"=荣誉称号加分")</f>
        <v>0</v>
      </c>
      <c r="I24" s="19">
        <f t="shared" si="0"/>
        <v>0</v>
      </c>
      <c r="J24" s="19">
        <f t="shared" si="1"/>
        <v>5.28</v>
      </c>
      <c r="K24" s="19">
        <f>(VLOOKUP(B24,智育素质!B:D,3,0)*10+50)*0.6</f>
        <v>47.82</v>
      </c>
      <c r="L24" s="19">
        <f>SUMIFS(体育素质!J:J,体育素质!B:B,B24,体育素质!D:D,"=体育课程成绩",体育素质!E:E,"=体育成绩")/40</f>
        <v>3.75</v>
      </c>
      <c r="M24" s="19">
        <f>SUMIFS(体育素质!L:L,体育素质!B:B,B24,体育素质!D:D,"=校内外体育竞赛")</f>
        <v>0</v>
      </c>
      <c r="N24" s="19">
        <f>SUMIFS(体育素质!L:L,体育素质!B:B,B24,体育素质!D:D,"=校内外体育活动",体育素质!E:E,"=早锻炼")</f>
        <v>0</v>
      </c>
      <c r="O24" s="19">
        <f>SUMIFS(体育素质!L:L,体育素质!B:B,B24,体育素质!D:D,"=校内外体育活动",体育素质!E:E,"=校园跑")</f>
        <v>0.7040625</v>
      </c>
      <c r="P24" s="19">
        <f t="shared" si="2"/>
        <v>0.7040625</v>
      </c>
      <c r="Q24" s="19">
        <f t="shared" si="3"/>
        <v>4.4540625</v>
      </c>
      <c r="R24" s="19">
        <f>MIN(0.5,SUMIFS(美育素质!L:L,美育素质!B:B,B24,美育素质!D:D,"=文化艺术实践"))</f>
        <v>0</v>
      </c>
      <c r="S24" s="19">
        <f>SUMIFS(美育素质!L:L,美育素质!B:B,B24,美育素质!D:D,"=校内外文化艺术竞赛")</f>
        <v>0</v>
      </c>
      <c r="T24" s="19">
        <f t="shared" si="4"/>
        <v>0</v>
      </c>
      <c r="U24" s="19">
        <f>MAX(0,SUMIFS(劳育素质!K:K,劳育素质!B:B,B24,劳育素质!D:D,"=劳动日常考核基础分")+SUMIFS(劳育素质!K:K,劳育素质!B:B,B24,劳育素质!D:D,"=活动与卫生加减分"))</f>
        <v>1.56294444444444</v>
      </c>
      <c r="V24" s="19">
        <f>SUMIFS(劳育素质!K:K,劳育素质!B:B,B24,劳育素质!D:D,"=志愿服务",劳育素质!F:F,"=A类+B类")</f>
        <v>0</v>
      </c>
      <c r="W24" s="19">
        <f>SUMIFS(劳育素质!K:K,劳育素质!B:B,B24,劳育素质!D:D,"=志愿服务",劳育素质!F:F,"=C类")</f>
        <v>0</v>
      </c>
      <c r="X24" s="19">
        <f t="shared" si="5"/>
        <v>0</v>
      </c>
      <c r="Y24" s="19">
        <f>SUMIFS(劳育素质!K:K,劳育素质!B:B,B24,劳育素质!D:D,"=实习实训")</f>
        <v>0</v>
      </c>
      <c r="Z24" s="19">
        <f t="shared" si="6"/>
        <v>1.56294444444444</v>
      </c>
      <c r="AA24" s="19">
        <f>SUMIFS(创新与实践素质!L:L,创新与实践素质!B:B,B24,创新与实践素质!D:D,"=创新创业素质")</f>
        <v>0</v>
      </c>
      <c r="AB24" s="19">
        <f>SUMIFS(创新与实践素质!L:L,创新与实践素质!B:B,B24,创新与实践素质!D:D,"=水平考试")</f>
        <v>0</v>
      </c>
      <c r="AC24" s="19">
        <f>SUMIFS(创新与实践素质!L:L,创新与实践素质!B:B,B24,创新与实践素质!D:D,"=社会实践")</f>
        <v>0</v>
      </c>
      <c r="AD24" s="19">
        <f>_xlfn.MAXIFS(创新与实践素质!L:L,创新与实践素质!B:B,B24,创新与实践素质!D:D,"=社会工作能力（工作表现）",创新与实践素质!G:G,"=上学期")+_xlfn.MAXIFS(创新与实践素质!L:L,创新与实践素质!B:B,B24,创新与实践素质!D:D,"=社会工作能力（工作表现）",创新与实践素质!G:G,"=下学期")</f>
        <v>0</v>
      </c>
      <c r="AE24" s="19">
        <f t="shared" si="7"/>
        <v>0</v>
      </c>
      <c r="AF24" s="19">
        <f t="shared" si="8"/>
        <v>59.1170069444444</v>
      </c>
    </row>
    <row r="25" spans="1:32">
      <c r="A25" s="18" t="s">
        <v>9</v>
      </c>
      <c r="B25" s="18" t="s">
        <v>17</v>
      </c>
      <c r="C25" s="18"/>
      <c r="D25" s="19">
        <f>SUMIFS(德育素质!H:H,德育素质!B:B,B25,德育素质!D:D,"=基本评定分")</f>
        <v>6</v>
      </c>
      <c r="E25" s="19">
        <f>MIN(2,SUMIFS(德育素质!H:H,德育素质!A:A,A25,德育素质!D:D,"=集体评定等级分",德育素质!E:E,"=班级考评等级")+SUMIFS(德育素质!H:H,德育素质!B:B,B25,德育素质!D:D,"=集体评定等级分"))</f>
        <v>0</v>
      </c>
      <c r="F25" s="19">
        <f>MIN(2,SUMIFS(德育素质!H:H,德育素质!B:B,B25,德育素质!D:D,"=社会责任记实分"))</f>
        <v>0</v>
      </c>
      <c r="G25" s="19">
        <f>SUMIFS(德育素质!H:H,德育素质!B:B,B25,德育素质!D:D,"=违纪违规扣分")</f>
        <v>0</v>
      </c>
      <c r="H25" s="19">
        <f>SUMIFS(德育素质!H:H,德育素质!B:B,B25,德育素质!D:D,"=荣誉称号加分")</f>
        <v>0.25</v>
      </c>
      <c r="I25" s="19">
        <f t="shared" si="0"/>
        <v>0.25</v>
      </c>
      <c r="J25" s="19">
        <f t="shared" si="1"/>
        <v>6.25</v>
      </c>
      <c r="K25" s="19">
        <f>(VLOOKUP(B25,智育素质!B:D,3,0)*10+50)*0.6</f>
        <v>52.758</v>
      </c>
      <c r="L25" s="19">
        <f>SUMIFS(体育素质!J:J,体育素质!B:B,B25,体育素质!D:D,"=体育课程成绩",体育素质!E:E,"=体育成绩")/40</f>
        <v>3.84</v>
      </c>
      <c r="M25" s="19">
        <f>SUMIFS(体育素质!L:L,体育素质!B:B,B25,体育素质!D:D,"=校内外体育竞赛")</f>
        <v>1</v>
      </c>
      <c r="N25" s="19">
        <f>SUMIFS(体育素质!L:L,体育素质!B:B,B25,体育素质!D:D,"=校内外体育活动",体育素质!E:E,"=早锻炼")</f>
        <v>0</v>
      </c>
      <c r="O25" s="19">
        <f>SUMIFS(体育素质!L:L,体育素质!B:B,B25,体育素质!D:D,"=校内外体育活动",体育素质!E:E,"=校园跑")</f>
        <v>0.64375</v>
      </c>
      <c r="P25" s="19">
        <f t="shared" si="2"/>
        <v>1.64375</v>
      </c>
      <c r="Q25" s="19">
        <f t="shared" si="3"/>
        <v>5.48375</v>
      </c>
      <c r="R25" s="19">
        <f>MIN(0.5,SUMIFS(美育素质!L:L,美育素质!B:B,B25,美育素质!D:D,"=文化艺术实践"))</f>
        <v>0</v>
      </c>
      <c r="S25" s="19">
        <f>SUMIFS(美育素质!L:L,美育素质!B:B,B25,美育素质!D:D,"=校内外文化艺术竞赛")</f>
        <v>0.5</v>
      </c>
      <c r="T25" s="19">
        <f t="shared" si="4"/>
        <v>0.5</v>
      </c>
      <c r="U25" s="19">
        <f>MAX(0,SUMIFS(劳育素质!K:K,劳育素质!B:B,B25,劳育素质!D:D,"=劳动日常考核基础分")+SUMIFS(劳育素质!K:K,劳育素质!B:B,B25,劳育素质!D:D,"=活动与卫生加减分"))</f>
        <v>1.52933333333333</v>
      </c>
      <c r="V25" s="19">
        <f>SUMIFS(劳育素质!K:K,劳育素质!B:B,B25,劳育素质!D:D,"=志愿服务",劳育素质!F:F,"=A类+B类")</f>
        <v>0.75</v>
      </c>
      <c r="W25" s="19">
        <f>MIN(0.5,SUMIFS(劳育素质!K:K,劳育素质!B:B,B25,劳育素质!D:D,"=志愿服务",劳育素质!F:F,"=C类"))</f>
        <v>0</v>
      </c>
      <c r="X25" s="19">
        <f t="shared" si="5"/>
        <v>0.75</v>
      </c>
      <c r="Y25" s="19">
        <f>SUMIFS(劳育素质!K:K,劳育素质!B:B,B25,劳育素质!D:D,"=实习实训")</f>
        <v>0</v>
      </c>
      <c r="Z25" s="19">
        <f t="shared" si="6"/>
        <v>2.27933333333333</v>
      </c>
      <c r="AA25" s="19">
        <f>SUMIFS(创新与实践素质!L:L,创新与实践素质!B:B,B25,创新与实践素质!D:D,"=创新创业素质")</f>
        <v>0</v>
      </c>
      <c r="AB25" s="19">
        <f>SUMIFS(创新与实践素质!L:L,创新与实践素质!B:B,B25,创新与实践素质!D:D,"=水平考试")</f>
        <v>0</v>
      </c>
      <c r="AC25" s="19">
        <f>SUMIFS(创新与实践素质!L:L,创新与实践素质!B:B,B25,创新与实践素质!D:D,"=社会实践")</f>
        <v>0</v>
      </c>
      <c r="AD25" s="19">
        <f>_xlfn.MAXIFS(创新与实践素质!L:L,创新与实践素质!B:B,B25,创新与实践素质!D:D,"=社会工作能力（工作表现）",创新与实践素质!G:G,"=上学期")+_xlfn.MAXIFS(创新与实践素质!L:L,创新与实践素质!B:B,B25,创新与实践素质!D:D,"=社会工作能力（工作表现）",创新与实践素质!G:G,"=下学期")</f>
        <v>1.4</v>
      </c>
      <c r="AE25" s="19">
        <f t="shared" si="7"/>
        <v>1.4</v>
      </c>
      <c r="AF25" s="19">
        <f t="shared" si="8"/>
        <v>68.6710833333333</v>
      </c>
    </row>
    <row r="26" spans="1:32">
      <c r="A26" s="18" t="s">
        <v>9</v>
      </c>
      <c r="B26" s="18" t="s">
        <v>18</v>
      </c>
      <c r="C26" s="18"/>
      <c r="D26" s="19">
        <f>SUMIFS(德育素质!H:H,德育素质!B:B,B26,德育素质!D:D,"=基本评定分")</f>
        <v>5.28</v>
      </c>
      <c r="E26" s="19">
        <f>MIN(2,SUMIFS(德育素质!H:H,德育素质!A:A,A26,德育素质!D:D,"=集体评定等级分",德育素质!E:E,"=班级考评等级")+SUMIFS(德育素质!H:H,德育素质!B:B,B26,德育素质!D:D,"=集体评定等级分"))</f>
        <v>0</v>
      </c>
      <c r="F26" s="19">
        <f>MIN(2,SUMIFS(德育素质!H:H,德育素质!B:B,B26,德育素质!D:D,"=社会责任记实分"))</f>
        <v>0</v>
      </c>
      <c r="G26" s="19">
        <f>SUMIFS(德育素质!H:H,德育素质!B:B,B26,德育素质!D:D,"=违纪违规扣分")</f>
        <v>0</v>
      </c>
      <c r="H26" s="19">
        <f>SUMIFS(德育素质!H:H,德育素质!B:B,B26,德育素质!D:D,"=荣誉称号加分")</f>
        <v>0</v>
      </c>
      <c r="I26" s="19">
        <f t="shared" si="0"/>
        <v>0</v>
      </c>
      <c r="J26" s="19">
        <f t="shared" si="1"/>
        <v>5.28</v>
      </c>
      <c r="K26" s="19">
        <f>(VLOOKUP(B26,智育素质!B:D,3,0)*10+50)*0.6</f>
        <v>39.54</v>
      </c>
      <c r="L26" s="19">
        <f>SUMIFS(体育素质!J:J,体育素质!B:B,B26,体育素质!D:D,"=体育课程成绩",体育素质!E:E,"=体育成绩")/40</f>
        <v>3.125</v>
      </c>
      <c r="M26" s="19">
        <f>SUMIFS(体育素质!L:L,体育素质!B:B,B26,体育素质!D:D,"=校内外体育竞赛")</f>
        <v>0</v>
      </c>
      <c r="N26" s="19">
        <f>SUMIFS(体育素质!L:L,体育素质!B:B,B26,体育素质!D:D,"=校内外体育活动",体育素质!E:E,"=早锻炼")</f>
        <v>0</v>
      </c>
      <c r="O26" s="19">
        <f>SUMIFS(体育素质!L:L,体育素质!B:B,B26,体育素质!D:D,"=校内外体育活动",体育素质!E:E,"=校园跑")</f>
        <v>0</v>
      </c>
      <c r="P26" s="19">
        <f t="shared" si="2"/>
        <v>0</v>
      </c>
      <c r="Q26" s="19">
        <f t="shared" si="3"/>
        <v>3.125</v>
      </c>
      <c r="R26" s="19">
        <f>MIN(0.5,SUMIFS(美育素质!L:L,美育素质!B:B,B26,美育素质!D:D,"=文化艺术实践"))</f>
        <v>0</v>
      </c>
      <c r="S26" s="19">
        <f>SUMIFS(美育素质!L:L,美育素质!B:B,B26,美育素质!D:D,"=校内外文化艺术竞赛")</f>
        <v>0</v>
      </c>
      <c r="T26" s="19">
        <f t="shared" si="4"/>
        <v>0</v>
      </c>
      <c r="U26" s="19">
        <f>MAX(0,SUMIFS(劳育素质!K:K,劳育素质!B:B,B26,劳育素质!D:D,"=劳动日常考核基础分")+SUMIFS(劳育素质!K:K,劳育素质!B:B,B26,劳育素质!D:D,"=活动与卫生加减分"))</f>
        <v>1.399</v>
      </c>
      <c r="V26" s="19">
        <f>SUMIFS(劳育素质!K:K,劳育素质!B:B,B26,劳育素质!D:D,"=志愿服务",劳育素质!F:F,"=A类+B类")</f>
        <v>0</v>
      </c>
      <c r="W26" s="19">
        <f>SUMIFS(劳育素质!K:K,劳育素质!B:B,B26,劳育素质!D:D,"=志愿服务",劳育素质!F:F,"=C类")</f>
        <v>0</v>
      </c>
      <c r="X26" s="19">
        <f t="shared" si="5"/>
        <v>0</v>
      </c>
      <c r="Y26" s="19">
        <f>SUMIFS(劳育素质!K:K,劳育素质!B:B,B26,劳育素质!D:D,"=实习实训")</f>
        <v>0</v>
      </c>
      <c r="Z26" s="19">
        <f t="shared" si="6"/>
        <v>1.399</v>
      </c>
      <c r="AA26" s="19">
        <f>SUMIFS(创新与实践素质!L:L,创新与实践素质!B:B,B26,创新与实践素质!D:D,"=创新创业素质")</f>
        <v>0</v>
      </c>
      <c r="AB26" s="19">
        <f>SUMIFS(创新与实践素质!L:L,创新与实践素质!B:B,B26,创新与实践素质!D:D,"=水平考试")</f>
        <v>0</v>
      </c>
      <c r="AC26" s="19">
        <f>SUMIFS(创新与实践素质!L:L,创新与实践素质!B:B,B26,创新与实践素质!D:D,"=社会实践")</f>
        <v>0</v>
      </c>
      <c r="AD26" s="19">
        <f>_xlfn.MAXIFS(创新与实践素质!L:L,创新与实践素质!B:B,B26,创新与实践素质!D:D,"=社会工作能力（工作表现）",创新与实践素质!G:G,"=上学期")+_xlfn.MAXIFS(创新与实践素质!L:L,创新与实践素质!B:B,B26,创新与实践素质!D:D,"=社会工作能力（工作表现）",创新与实践素质!G:G,"=下学期")</f>
        <v>0.6</v>
      </c>
      <c r="AE26" s="19">
        <f t="shared" si="7"/>
        <v>0.6</v>
      </c>
      <c r="AF26" s="19">
        <f t="shared" si="8"/>
        <v>49.944</v>
      </c>
    </row>
    <row r="27" spans="1:32">
      <c r="A27" s="18" t="s">
        <v>9</v>
      </c>
      <c r="B27" s="18" t="s">
        <v>64</v>
      </c>
      <c r="C27" s="18"/>
      <c r="D27" s="19">
        <f>SUMIFS(德育素质!H:H,德育素质!B:B,B27,德育素质!D:D,"=基本评定分")</f>
        <v>5.28</v>
      </c>
      <c r="E27" s="19">
        <f>MIN(2,SUMIFS(德育素质!H:H,德育素质!A:A,A27,德育素质!D:D,"=集体评定等级分",德育素质!E:E,"=班级考评等级")+SUMIFS(德育素质!H:H,德育素质!B:B,B27,德育素质!D:D,"=集体评定等级分"))</f>
        <v>0</v>
      </c>
      <c r="F27" s="19">
        <f>MIN(2,SUMIFS(德育素质!H:H,德育素质!B:B,B27,德育素质!D:D,"=社会责任记实分"))</f>
        <v>0</v>
      </c>
      <c r="G27" s="19">
        <f>SUMIFS(德育素质!H:H,德育素质!B:B,B27,德育素质!D:D,"=违纪违规扣分")</f>
        <v>0</v>
      </c>
      <c r="H27" s="19">
        <f>SUMIFS(德育素质!H:H,德育素质!B:B,B27,德育素质!D:D,"=荣誉称号加分")</f>
        <v>0</v>
      </c>
      <c r="I27" s="19">
        <f t="shared" si="0"/>
        <v>0</v>
      </c>
      <c r="J27" s="19">
        <f t="shared" si="1"/>
        <v>5.28</v>
      </c>
      <c r="K27" s="19">
        <f>(VLOOKUP(B27,智育素质!B:D,3,0)*10+50)*0.6</f>
        <v>37.044</v>
      </c>
      <c r="L27" s="19">
        <f>SUMIFS(体育素质!J:J,体育素质!B:B,B27,体育素质!D:D,"=体育课程成绩",体育素质!E:E,"=体育成绩")/40</f>
        <v>4.15</v>
      </c>
      <c r="M27" s="19">
        <f>SUMIFS(体育素质!L:L,体育素质!B:B,B27,体育素质!D:D,"=校内外体育竞赛")</f>
        <v>0</v>
      </c>
      <c r="N27" s="19">
        <f>SUMIFS(体育素质!L:L,体育素质!B:B,B27,体育素质!D:D,"=校内外体育活动",体育素质!E:E,"=早锻炼")</f>
        <v>0</v>
      </c>
      <c r="O27" s="19">
        <f>SUMIFS(体育素质!L:L,体育素质!B:B,B27,体育素质!D:D,"=校内外体育活动",体育素质!E:E,"=校园跑")</f>
        <v>0</v>
      </c>
      <c r="P27" s="19">
        <f t="shared" si="2"/>
        <v>0</v>
      </c>
      <c r="Q27" s="19">
        <f t="shared" si="3"/>
        <v>4.15</v>
      </c>
      <c r="R27" s="19">
        <f>MIN(0.5,SUMIFS(美育素质!L:L,美育素质!B:B,B27,美育素质!D:D,"=文化艺术实践"))</f>
        <v>0</v>
      </c>
      <c r="S27" s="19">
        <f>SUMIFS(美育素质!L:L,美育素质!B:B,B27,美育素质!D:D,"=校内外文化艺术竞赛")</f>
        <v>0</v>
      </c>
      <c r="T27" s="19">
        <f t="shared" si="4"/>
        <v>0</v>
      </c>
      <c r="U27" s="19">
        <f>MAX(0,SUMIFS(劳育素质!K:K,劳育素质!B:B,B27,劳育素质!D:D,"=劳动日常考核基础分")+SUMIFS(劳育素质!K:K,劳育素质!B:B,B27,劳育素质!D:D,"=活动与卫生加减分"))</f>
        <v>1.59161111111111</v>
      </c>
      <c r="V27" s="19">
        <f>SUMIFS(劳育素质!K:K,劳育素质!B:B,B27,劳育素质!D:D,"=志愿服务",劳育素质!F:F,"=A类+B类")</f>
        <v>0</v>
      </c>
      <c r="W27" s="19">
        <f>SUMIFS(劳育素质!K:K,劳育素质!B:B,B27,劳育素质!D:D,"=志愿服务",劳育素质!F:F,"=C类")</f>
        <v>0</v>
      </c>
      <c r="X27" s="19">
        <f t="shared" si="5"/>
        <v>0</v>
      </c>
      <c r="Y27" s="19">
        <f>SUMIFS(劳育素质!K:K,劳育素质!B:B,B27,劳育素质!D:D,"=实习实训")</f>
        <v>0</v>
      </c>
      <c r="Z27" s="19">
        <f t="shared" si="6"/>
        <v>1.59161111111111</v>
      </c>
      <c r="AA27" s="19">
        <f>SUMIFS(创新与实践素质!L:L,创新与实践素质!B:B,B27,创新与实践素质!D:D,"=创新创业素质")</f>
        <v>0</v>
      </c>
      <c r="AB27" s="19">
        <f>SUMIFS(创新与实践素质!L:L,创新与实践素质!B:B,B27,创新与实践素质!D:D,"=水平考试")</f>
        <v>0</v>
      </c>
      <c r="AC27" s="19">
        <f>SUMIFS(创新与实践素质!L:L,创新与实践素质!B:B,B27,创新与实践素质!D:D,"=社会实践")</f>
        <v>0</v>
      </c>
      <c r="AD27" s="19">
        <f>_xlfn.MAXIFS(创新与实践素质!L:L,创新与实践素质!B:B,B27,创新与实践素质!D:D,"=社会工作能力（工作表现）",创新与实践素质!G:G,"=上学期")+_xlfn.MAXIFS(创新与实践素质!L:L,创新与实践素质!B:B,B27,创新与实践素质!D:D,"=社会工作能力（工作表现）",创新与实践素质!G:G,"=下学期")</f>
        <v>0</v>
      </c>
      <c r="AE27" s="19">
        <f t="shared" si="7"/>
        <v>0</v>
      </c>
      <c r="AF27" s="19">
        <f t="shared" si="8"/>
        <v>48.0656111111111</v>
      </c>
    </row>
    <row r="28" spans="1:32">
      <c r="A28" s="18" t="s">
        <v>9</v>
      </c>
      <c r="B28" s="18" t="s">
        <v>23</v>
      </c>
      <c r="C28" s="18"/>
      <c r="D28" s="19">
        <f>SUMIFS(德育素质!H:H,德育素质!B:B,B28,德育素质!D:D,"=基本评定分")</f>
        <v>5.28</v>
      </c>
      <c r="E28" s="19">
        <f>MIN(2,SUMIFS(德育素质!H:H,德育素质!A:A,A28,德育素质!D:D,"=集体评定等级分",德育素质!E:E,"=班级考评等级")+SUMIFS(德育素质!H:H,德育素质!B:B,B28,德育素质!D:D,"=集体评定等级分"))</f>
        <v>0</v>
      </c>
      <c r="F28" s="19">
        <f>MIN(2,SUMIFS(德育素质!H:H,德育素质!B:B,B28,德育素质!D:D,"=社会责任记实分"))</f>
        <v>0</v>
      </c>
      <c r="G28" s="19">
        <f>SUMIFS(德育素质!H:H,德育素质!B:B,B28,德育素质!D:D,"=违纪违规扣分")</f>
        <v>0</v>
      </c>
      <c r="H28" s="19">
        <f>SUMIFS(德育素质!H:H,德育素质!B:B,B28,德育素质!D:D,"=荣誉称号加分")</f>
        <v>0</v>
      </c>
      <c r="I28" s="19">
        <f t="shared" si="0"/>
        <v>0</v>
      </c>
      <c r="J28" s="19">
        <f t="shared" si="1"/>
        <v>5.28</v>
      </c>
      <c r="K28" s="19">
        <f>(VLOOKUP(B28,智育素质!B:D,3,0)*10+50)*0.6</f>
        <v>43.812</v>
      </c>
      <c r="L28" s="19">
        <f>SUMIFS(体育素质!J:J,体育素质!B:B,B28,体育素质!D:D,"=体育课程成绩",体育素质!E:E,"=体育成绩")/40</f>
        <v>3.65583333333333</v>
      </c>
      <c r="M28" s="19">
        <f>SUMIFS(体育素质!L:L,体育素质!B:B,B28,体育素质!D:D,"=校内外体育竞赛")</f>
        <v>0</v>
      </c>
      <c r="N28" s="19">
        <f>SUMIFS(体育素质!L:L,体育素质!B:B,B28,体育素质!D:D,"=校内外体育活动",体育素质!E:E,"=早锻炼")</f>
        <v>0</v>
      </c>
      <c r="O28" s="19">
        <f>SUMIFS(体育素质!L:L,体育素质!B:B,B28,体育素质!D:D,"=校内外体育活动",体育素质!E:E,"=校园跑")</f>
        <v>0.7890625</v>
      </c>
      <c r="P28" s="19">
        <f t="shared" si="2"/>
        <v>0.7890625</v>
      </c>
      <c r="Q28" s="19">
        <f t="shared" si="3"/>
        <v>4.44489583333333</v>
      </c>
      <c r="R28" s="19">
        <f>MIN(0.5,SUMIFS(美育素质!L:L,美育素质!B:B,B28,美育素质!D:D,"=文化艺术实践"))</f>
        <v>0</v>
      </c>
      <c r="S28" s="19">
        <f>SUMIFS(美育素质!L:L,美育素质!B:B,B28,美育素质!D:D,"=校内外文化艺术竞赛")</f>
        <v>0</v>
      </c>
      <c r="T28" s="19">
        <f t="shared" si="4"/>
        <v>0</v>
      </c>
      <c r="U28" s="19">
        <f>MAX(0,SUMIFS(劳育素质!K:K,劳育素质!B:B,B28,劳育素质!D:D,"=劳动日常考核基础分")+SUMIFS(劳育素质!K:K,劳育素质!B:B,B28,劳育素质!D:D,"=活动与卫生加减分"))</f>
        <v>1.3684</v>
      </c>
      <c r="V28" s="19">
        <f>SUMIFS(劳育素质!K:K,劳育素质!B:B,B28,劳育素质!D:D,"=志愿服务",劳育素质!F:F,"=A类+B类")</f>
        <v>0</v>
      </c>
      <c r="W28" s="19">
        <f>SUMIFS(劳育素质!K:K,劳育素质!B:B,B28,劳育素质!D:D,"=志愿服务",劳育素质!F:F,"=C类")</f>
        <v>0</v>
      </c>
      <c r="X28" s="19">
        <f t="shared" si="5"/>
        <v>0</v>
      </c>
      <c r="Y28" s="19">
        <f>SUMIFS(劳育素质!K:K,劳育素质!B:B,B28,劳育素质!D:D,"=实习实训")</f>
        <v>0</v>
      </c>
      <c r="Z28" s="19">
        <f t="shared" si="6"/>
        <v>1.3684</v>
      </c>
      <c r="AA28" s="19">
        <f>SUMIFS(创新与实践素质!L:L,创新与实践素质!B:B,B28,创新与实践素质!D:D,"=创新创业素质")</f>
        <v>0</v>
      </c>
      <c r="AB28" s="19">
        <f>SUMIFS(创新与实践素质!L:L,创新与实践素质!B:B,B28,创新与实践素质!D:D,"=水平考试")</f>
        <v>0</v>
      </c>
      <c r="AC28" s="19">
        <f>SUMIFS(创新与实践素质!L:L,创新与实践素质!B:B,B28,创新与实践素质!D:D,"=社会实践")</f>
        <v>0</v>
      </c>
      <c r="AD28" s="19">
        <f>_xlfn.MAXIFS(创新与实践素质!L:L,创新与实践素质!B:B,B28,创新与实践素质!D:D,"=社会工作能力（工作表现）",创新与实践素质!G:G,"=上学期")+_xlfn.MAXIFS(创新与实践素质!L:L,创新与实践素质!B:B,B28,创新与实践素质!D:D,"=社会工作能力（工作表现）",创新与实践素质!G:G,"=下学期")</f>
        <v>0</v>
      </c>
      <c r="AE28" s="19">
        <f t="shared" si="7"/>
        <v>0</v>
      </c>
      <c r="AF28" s="19">
        <f t="shared" si="8"/>
        <v>54.9052958333333</v>
      </c>
    </row>
    <row r="29" spans="1:32">
      <c r="A29" s="18" t="s">
        <v>9</v>
      </c>
      <c r="B29" s="18" t="s">
        <v>35</v>
      </c>
      <c r="C29" s="18"/>
      <c r="D29" s="19">
        <f>SUMIFS(德育素质!H:H,德育素质!B:B,B29,德育素质!D:D,"=基本评定分")</f>
        <v>5.28</v>
      </c>
      <c r="E29" s="19">
        <f>MIN(2,SUMIFS(德育素质!H:H,德育素质!A:A,A29,德育素质!D:D,"=集体评定等级分",德育素质!E:E,"=班级考评等级")+SUMIFS(德育素质!H:H,德育素质!B:B,B29,德育素质!D:D,"=集体评定等级分"))</f>
        <v>0</v>
      </c>
      <c r="F29" s="19">
        <f>MIN(2,SUMIFS(德育素质!H:H,德育素质!B:B,B29,德育素质!D:D,"=社会责任记实分"))</f>
        <v>0</v>
      </c>
      <c r="G29" s="19">
        <f>SUMIFS(德育素质!H:H,德育素质!B:B,B29,德育素质!D:D,"=违纪违规扣分")</f>
        <v>0</v>
      </c>
      <c r="H29" s="19">
        <f>SUMIFS(德育素质!H:H,德育素质!B:B,B29,德育素质!D:D,"=荣誉称号加分")</f>
        <v>0</v>
      </c>
      <c r="I29" s="19">
        <f t="shared" si="0"/>
        <v>0</v>
      </c>
      <c r="J29" s="19">
        <f t="shared" si="1"/>
        <v>5.28</v>
      </c>
      <c r="K29" s="19">
        <f>(VLOOKUP(B29,智育素质!B:D,3,0)*10+50)*0.6</f>
        <v>50.118</v>
      </c>
      <c r="L29" s="19">
        <f>SUMIFS(体育素质!J:J,体育素质!B:B,B29,体育素质!D:D,"=体育课程成绩",体育素质!E:E,"=体育成绩")/40</f>
        <v>3.245</v>
      </c>
      <c r="M29" s="19">
        <f>SUMIFS(体育素质!L:L,体育素质!B:B,B29,体育素质!D:D,"=校内外体育竞赛")</f>
        <v>0</v>
      </c>
      <c r="N29" s="19">
        <f>SUMIFS(体育素质!L:L,体育素质!B:B,B29,体育素质!D:D,"=校内外体育活动",体育素质!E:E,"=早锻炼")</f>
        <v>0</v>
      </c>
      <c r="O29" s="19">
        <f>SUMIFS(体育素质!L:L,体育素质!B:B,B29,体育素质!D:D,"=校内外体育活动",体育素质!E:E,"=校园跑")</f>
        <v>0.628020833333333</v>
      </c>
      <c r="P29" s="19">
        <f t="shared" si="2"/>
        <v>0.628020833333333</v>
      </c>
      <c r="Q29" s="19">
        <f t="shared" si="3"/>
        <v>3.87302083333333</v>
      </c>
      <c r="R29" s="19">
        <f>MIN(0.5,SUMIFS(美育素质!L:L,美育素质!B:B,B29,美育素质!D:D,"=文化艺术实践"))</f>
        <v>0</v>
      </c>
      <c r="S29" s="19">
        <f>SUMIFS(美育素质!L:L,美育素质!B:B,B29,美育素质!D:D,"=校内外文化艺术竞赛")</f>
        <v>0</v>
      </c>
      <c r="T29" s="19">
        <f t="shared" si="4"/>
        <v>0</v>
      </c>
      <c r="U29" s="19">
        <f>MAX(0,SUMIFS(劳育素质!K:K,劳育素质!B:B,B29,劳育素质!D:D,"=劳动日常考核基础分")+SUMIFS(劳育素质!K:K,劳育素质!B:B,B29,劳育素质!D:D,"=活动与卫生加减分"))</f>
        <v>1.54366666666667</v>
      </c>
      <c r="V29" s="19">
        <f>SUMIFS(劳育素质!K:K,劳育素质!B:B,B29,劳育素质!D:D,"=志愿服务",劳育素质!F:F,"=A类+B类")</f>
        <v>0.675</v>
      </c>
      <c r="W29" s="19">
        <f>SUMIFS(劳育素质!K:K,劳育素质!B:B,B29,劳育素质!D:D,"=志愿服务",劳育素质!F:F,"=C类")</f>
        <v>0</v>
      </c>
      <c r="X29" s="19">
        <f t="shared" si="5"/>
        <v>0.675</v>
      </c>
      <c r="Y29" s="19">
        <f>SUMIFS(劳育素质!K:K,劳育素质!B:B,B29,劳育素质!D:D,"=实习实训")</f>
        <v>0</v>
      </c>
      <c r="Z29" s="19">
        <f t="shared" si="6"/>
        <v>2.21866666666667</v>
      </c>
      <c r="AA29" s="19">
        <f>SUMIFS(创新与实践素质!L:L,创新与实践素质!B:B,B29,创新与实践素质!D:D,"=创新创业素质")</f>
        <v>0</v>
      </c>
      <c r="AB29" s="19">
        <f>SUMIFS(创新与实践素质!L:L,创新与实践素质!B:B,B29,创新与实践素质!D:D,"=水平考试")</f>
        <v>0</v>
      </c>
      <c r="AC29" s="19">
        <f>SUMIFS(创新与实践素质!L:L,创新与实践素质!B:B,B29,创新与实践素质!D:D,"=社会实践")</f>
        <v>0</v>
      </c>
      <c r="AD29" s="19">
        <f>_xlfn.MAXIFS(创新与实践素质!L:L,创新与实践素质!B:B,B29,创新与实践素质!D:D,"=社会工作能力（工作表现）",创新与实践素质!G:G,"=上学期")+_xlfn.MAXIFS(创新与实践素质!L:L,创新与实践素质!B:B,B29,创新与实践素质!D:D,"=社会工作能力（工作表现）",创新与实践素质!G:G,"=下学期")</f>
        <v>0</v>
      </c>
      <c r="AE29" s="19">
        <f t="shared" si="7"/>
        <v>0</v>
      </c>
      <c r="AF29" s="19">
        <f t="shared" si="8"/>
        <v>61.4896875</v>
      </c>
    </row>
    <row r="30" spans="1:32">
      <c r="A30" s="18" t="s">
        <v>9</v>
      </c>
      <c r="B30" s="18" t="s">
        <v>31</v>
      </c>
      <c r="C30" s="18"/>
      <c r="D30" s="19">
        <f>SUMIFS(德育素质!H:H,德育素质!B:B,B30,德育素质!D:D,"=基本评定分")</f>
        <v>5.28</v>
      </c>
      <c r="E30" s="19">
        <f>MIN(2,SUMIFS(德育素质!H:H,德育素质!A:A,A30,德育素质!D:D,"=集体评定等级分",德育素质!E:E,"=班级考评等级")+SUMIFS(德育素质!H:H,德育素质!B:B,B30,德育素质!D:D,"=集体评定等级分"))</f>
        <v>0</v>
      </c>
      <c r="F30" s="19">
        <f>MIN(2,SUMIFS(德育素质!H:H,德育素质!B:B,B30,德育素质!D:D,"=社会责任记实分"))</f>
        <v>0</v>
      </c>
      <c r="G30" s="19">
        <f>SUMIFS(德育素质!H:H,德育素质!B:B,B30,德育素质!D:D,"=违纪违规扣分")</f>
        <v>0</v>
      </c>
      <c r="H30" s="19">
        <f>SUMIFS(德育素质!H:H,德育素质!B:B,B30,德育素质!D:D,"=荣誉称号加分")</f>
        <v>0</v>
      </c>
      <c r="I30" s="19">
        <f t="shared" si="0"/>
        <v>0</v>
      </c>
      <c r="J30" s="19">
        <f t="shared" si="1"/>
        <v>5.28</v>
      </c>
      <c r="K30" s="19">
        <f>(VLOOKUP(B30,智育素质!B:D,3,0)*10+50)*0.6</f>
        <v>40.842</v>
      </c>
      <c r="L30" s="19">
        <f>SUMIFS(体育素质!J:J,体育素质!B:B,B30,体育素质!D:D,"=体育课程成绩",体育素质!E:E,"=体育成绩")/40</f>
        <v>3.48083333333333</v>
      </c>
      <c r="M30" s="19">
        <f>SUMIFS(体育素质!L:L,体育素质!B:B,B30,体育素质!D:D,"=校内外体育竞赛")</f>
        <v>0</v>
      </c>
      <c r="N30" s="19">
        <f>SUMIFS(体育素质!L:L,体育素质!B:B,B30,体育素质!D:D,"=校内外体育活动",体育素质!E:E,"=早锻炼")</f>
        <v>0</v>
      </c>
      <c r="O30" s="19">
        <f>SUMIFS(体育素质!L:L,体育素质!B:B,B30,体育素质!D:D,"=校内外体育活动",体育素质!E:E,"=校园跑")</f>
        <v>0</v>
      </c>
      <c r="P30" s="19">
        <f t="shared" si="2"/>
        <v>0</v>
      </c>
      <c r="Q30" s="19">
        <f t="shared" si="3"/>
        <v>3.48083333333333</v>
      </c>
      <c r="R30" s="19">
        <f>MIN(0.5,SUMIFS(美育素质!L:L,美育素质!B:B,B30,美育素质!D:D,"=文化艺术实践"))</f>
        <v>0</v>
      </c>
      <c r="S30" s="19">
        <f>SUMIFS(美育素质!L:L,美育素质!B:B,B30,美育素质!D:D,"=校内外文化艺术竞赛")</f>
        <v>0</v>
      </c>
      <c r="T30" s="19">
        <f t="shared" si="4"/>
        <v>0</v>
      </c>
      <c r="U30" s="19">
        <f>MAX(0,SUMIFS(劳育素质!K:K,劳育素质!B:B,B30,劳育素质!D:D,"=劳动日常考核基础分")+SUMIFS(劳育素质!K:K,劳育素质!B:B,B30,劳育素质!D:D,"=活动与卫生加减分"))</f>
        <v>1.428</v>
      </c>
      <c r="V30" s="19">
        <f>SUMIFS(劳育素质!K:K,劳育素质!B:B,B30,劳育素质!D:D,"=志愿服务",劳育素质!F:F,"=A类+B类")</f>
        <v>0</v>
      </c>
      <c r="W30" s="19">
        <f>SUMIFS(劳育素质!K:K,劳育素质!B:B,B30,劳育素质!D:D,"=志愿服务",劳育素质!F:F,"=C类")</f>
        <v>0</v>
      </c>
      <c r="X30" s="19">
        <f t="shared" si="5"/>
        <v>0</v>
      </c>
      <c r="Y30" s="19">
        <f>SUMIFS(劳育素质!K:K,劳育素质!B:B,B30,劳育素质!D:D,"=实习实训")</f>
        <v>0</v>
      </c>
      <c r="Z30" s="19">
        <f t="shared" si="6"/>
        <v>1.428</v>
      </c>
      <c r="AA30" s="19">
        <f>SUMIFS(创新与实践素质!L:L,创新与实践素质!B:B,B30,创新与实践素质!D:D,"=创新创业素质")</f>
        <v>0</v>
      </c>
      <c r="AB30" s="19">
        <f>SUMIFS(创新与实践素质!L:L,创新与实践素质!B:B,B30,创新与实践素质!D:D,"=水平考试")</f>
        <v>0</v>
      </c>
      <c r="AC30" s="19">
        <f>SUMIFS(创新与实践素质!L:L,创新与实践素质!B:B,B30,创新与实践素质!D:D,"=社会实践")</f>
        <v>0</v>
      </c>
      <c r="AD30" s="19">
        <f>_xlfn.MAXIFS(创新与实践素质!L:L,创新与实践素质!B:B,B30,创新与实践素质!D:D,"=社会工作能力（工作表现）",创新与实践素质!G:G,"=上学期")+_xlfn.MAXIFS(创新与实践素质!L:L,创新与实践素质!B:B,B30,创新与实践素质!D:D,"=社会工作能力（工作表现）",创新与实践素质!G:G,"=下学期")</f>
        <v>0</v>
      </c>
      <c r="AE30" s="19">
        <f t="shared" si="7"/>
        <v>0</v>
      </c>
      <c r="AF30" s="19">
        <f t="shared" si="8"/>
        <v>51.0308333333333</v>
      </c>
    </row>
    <row r="31" spans="1:32">
      <c r="A31" s="18" t="s">
        <v>9</v>
      </c>
      <c r="B31" s="18" t="s">
        <v>19</v>
      </c>
      <c r="C31" s="18"/>
      <c r="D31" s="19">
        <f>SUMIFS(德育素质!H:H,德育素质!B:B,B31,德育素质!D:D,"=基本评定分")</f>
        <v>6</v>
      </c>
      <c r="E31" s="19">
        <f>MIN(2,SUMIFS(德育素质!H:H,德育素质!A:A,A31,德育素质!D:D,"=集体评定等级分",德育素质!E:E,"=班级考评等级")+SUMIFS(德育素质!H:H,德育素质!B:B,B31,德育素质!D:D,"=集体评定等级分"))</f>
        <v>0</v>
      </c>
      <c r="F31" s="19">
        <f>MIN(2,SUMIFS(德育素质!H:H,德育素质!B:B,B31,德育素质!D:D,"=社会责任记实分"))</f>
        <v>0</v>
      </c>
      <c r="G31" s="19">
        <f>SUMIFS(德育素质!H:H,德育素质!B:B,B31,德育素质!D:D,"=违纪违规扣分")</f>
        <v>0</v>
      </c>
      <c r="H31" s="19">
        <f>SUMIFS(德育素质!H:H,德育素质!B:B,B31,德育素质!D:D,"=荣誉称号加分")</f>
        <v>0</v>
      </c>
      <c r="I31" s="19">
        <f t="shared" si="0"/>
        <v>0</v>
      </c>
      <c r="J31" s="19">
        <f t="shared" si="1"/>
        <v>6</v>
      </c>
      <c r="K31" s="19">
        <f>(VLOOKUP(B31,智育素质!B:D,3,0)*10+50)*0.6</f>
        <v>50.118</v>
      </c>
      <c r="L31" s="19">
        <f>SUMIFS(体育素质!J:J,体育素质!B:B,B31,体育素质!D:D,"=体育课程成绩",体育素质!E:E,"=体育成绩")/40</f>
        <v>3.225</v>
      </c>
      <c r="M31" s="19">
        <f>SUMIFS(体育素质!L:L,体育素质!B:B,B31,体育素质!D:D,"=校内外体育竞赛")</f>
        <v>0</v>
      </c>
      <c r="N31" s="19">
        <f>SUMIFS(体育素质!L:L,体育素质!B:B,B31,体育素质!D:D,"=校内外体育活动",体育素质!E:E,"=早锻炼")</f>
        <v>0</v>
      </c>
      <c r="O31" s="19">
        <f>SUMIFS(体育素质!L:L,体育素质!B:B,B31,体育素质!D:D,"=校内外体育活动",体育素质!E:E,"=校园跑")</f>
        <v>0.625</v>
      </c>
      <c r="P31" s="19">
        <f t="shared" si="2"/>
        <v>0.625</v>
      </c>
      <c r="Q31" s="19">
        <f t="shared" si="3"/>
        <v>3.85</v>
      </c>
      <c r="R31" s="19">
        <f>MIN(0.5,SUMIFS(美育素质!L:L,美育素质!B:B,B31,美育素质!D:D,"=文化艺术实践"))</f>
        <v>0</v>
      </c>
      <c r="S31" s="19">
        <f>SUMIFS(美育素质!L:L,美育素质!B:B,B31,美育素质!D:D,"=校内外文化艺术竞赛")</f>
        <v>0.25</v>
      </c>
      <c r="T31" s="19">
        <f t="shared" si="4"/>
        <v>0.25</v>
      </c>
      <c r="U31" s="19">
        <f>MAX(0,SUMIFS(劳育素质!K:K,劳育素质!B:B,B31,劳育素质!D:D,"=劳动日常考核基础分")+SUMIFS(劳育素质!K:K,劳育素质!B:B,B31,劳育素质!D:D,"=活动与卫生加减分"))</f>
        <v>1.399</v>
      </c>
      <c r="V31" s="19">
        <f>SUMIFS(劳育素质!K:K,劳育素质!B:B,B31,劳育素质!D:D,"=志愿服务",劳育素质!F:F,"=A类+B类")</f>
        <v>0.75</v>
      </c>
      <c r="W31" s="19">
        <f>SUMIFS(劳育素质!K:K,劳育素质!B:B,B31,劳育素质!D:D,"=志愿服务",劳育素质!F:F,"=C类")</f>
        <v>0</v>
      </c>
      <c r="X31" s="19">
        <f t="shared" si="5"/>
        <v>0.75</v>
      </c>
      <c r="Y31" s="19">
        <f>SUMIFS(劳育素质!K:K,劳育素质!B:B,B31,劳育素质!D:D,"=实习实训")</f>
        <v>0</v>
      </c>
      <c r="Z31" s="19">
        <f t="shared" si="6"/>
        <v>2.149</v>
      </c>
      <c r="AA31" s="19">
        <f>SUMIFS(创新与实践素质!L:L,创新与实践素质!B:B,B31,创新与实践素质!D:D,"=创新创业素质")</f>
        <v>0</v>
      </c>
      <c r="AB31" s="19">
        <f>SUMIFS(创新与实践素质!L:L,创新与实践素质!B:B,B31,创新与实践素质!D:D,"=水平考试")</f>
        <v>0</v>
      </c>
      <c r="AC31" s="19">
        <f>SUMIFS(创新与实践素质!L:L,创新与实践素质!B:B,B31,创新与实践素质!D:D,"=社会实践")</f>
        <v>0</v>
      </c>
      <c r="AD31" s="19">
        <f>_xlfn.MAXIFS(创新与实践素质!L:L,创新与实践素质!B:B,B31,创新与实践素质!D:D,"=社会工作能力（工作表现）",创新与实践素质!G:G,"=上学期")+_xlfn.MAXIFS(创新与实践素质!L:L,创新与实践素质!B:B,B31,创新与实践素质!D:D,"=社会工作能力（工作表现）",创新与实践素质!G:G,"=下学期")</f>
        <v>1</v>
      </c>
      <c r="AE31" s="19">
        <f t="shared" si="7"/>
        <v>1</v>
      </c>
      <c r="AF31" s="19">
        <f t="shared" si="8"/>
        <v>63.367</v>
      </c>
    </row>
    <row r="32" spans="1:32">
      <c r="A32" s="18" t="s">
        <v>9</v>
      </c>
      <c r="B32" s="18" t="s">
        <v>60</v>
      </c>
      <c r="C32" s="18"/>
      <c r="D32" s="19">
        <f>SUMIFS(德育素质!H:H,德育素质!B:B,B32,德育素质!D:D,"=基本评定分")</f>
        <v>5.28</v>
      </c>
      <c r="E32" s="19">
        <f>MIN(2,SUMIFS(德育素质!H:H,德育素质!A:A,A32,德育素质!D:D,"=集体评定等级分",德育素质!E:E,"=班级考评等级")+SUMIFS(德育素质!H:H,德育素质!B:B,B32,德育素质!D:D,"=集体评定等级分"))</f>
        <v>0</v>
      </c>
      <c r="F32" s="19">
        <f>MIN(2,SUMIFS(德育素质!H:H,德育素质!B:B,B32,德育素质!D:D,"=社会责任记实分"))</f>
        <v>0</v>
      </c>
      <c r="G32" s="19">
        <f>SUMIFS(德育素质!H:H,德育素质!B:B,B32,德育素质!D:D,"=违纪违规扣分")</f>
        <v>0</v>
      </c>
      <c r="H32" s="19">
        <f>SUMIFS(德育素质!H:H,德育素质!B:B,B32,德育素质!D:D,"=荣誉称号加分")</f>
        <v>0</v>
      </c>
      <c r="I32" s="19">
        <f t="shared" si="0"/>
        <v>0</v>
      </c>
      <c r="J32" s="19">
        <f t="shared" si="1"/>
        <v>5.28</v>
      </c>
      <c r="K32" s="19">
        <f>(VLOOKUP(B32,智育素质!B:D,3,0)*10+50)*0.6</f>
        <v>50.058</v>
      </c>
      <c r="L32" s="19">
        <f>SUMIFS(体育素质!J:J,体育素质!B:B,B32,体育素质!D:D,"=体育课程成绩",体育素质!E:E,"=体育成绩")/40</f>
        <v>3.235</v>
      </c>
      <c r="M32" s="19">
        <f>SUMIFS(体育素质!L:L,体育素质!B:B,B32,体育素质!D:D,"=校内外体育竞赛")</f>
        <v>0</v>
      </c>
      <c r="N32" s="19">
        <f>SUMIFS(体育素质!L:L,体育素质!B:B,B32,体育素质!D:D,"=校内外体育活动",体育素质!E:E,"=早锻炼")</f>
        <v>0</v>
      </c>
      <c r="O32" s="19">
        <f>SUMIFS(体育素质!L:L,体育素质!B:B,B32,体育素质!D:D,"=校内外体育活动",体育素质!E:E,"=校园跑")</f>
        <v>0</v>
      </c>
      <c r="P32" s="19">
        <f t="shared" si="2"/>
        <v>0</v>
      </c>
      <c r="Q32" s="19">
        <f t="shared" si="3"/>
        <v>3.235</v>
      </c>
      <c r="R32" s="19">
        <f>MIN(0.5,SUMIFS(美育素质!L:L,美育素质!B:B,B32,美育素质!D:D,"=文化艺术实践"))</f>
        <v>0</v>
      </c>
      <c r="S32" s="19">
        <f>SUMIFS(美育素质!L:L,美育素质!B:B,B32,美育素质!D:D,"=校内外文化艺术竞赛")</f>
        <v>0</v>
      </c>
      <c r="T32" s="19">
        <f t="shared" si="4"/>
        <v>0</v>
      </c>
      <c r="U32" s="19">
        <f>MAX(0,SUMIFS(劳育素质!K:K,劳育素质!B:B,B32,劳育素质!D:D,"=劳动日常考核基础分")+SUMIFS(劳育素质!K:K,劳育素质!B:B,B32,劳育素质!D:D,"=活动与卫生加减分"))</f>
        <v>1.42195238095238</v>
      </c>
      <c r="V32" s="19">
        <f>SUMIFS(劳育素质!K:K,劳育素质!B:B,B32,劳育素质!D:D,"=志愿服务",劳育素质!F:F,"=A类+B类")</f>
        <v>0</v>
      </c>
      <c r="W32" s="19">
        <f>SUMIFS(劳育素质!K:K,劳育素质!B:B,B32,劳育素质!D:D,"=志愿服务",劳育素质!F:F,"=C类")</f>
        <v>0</v>
      </c>
      <c r="X32" s="19">
        <f t="shared" si="5"/>
        <v>0</v>
      </c>
      <c r="Y32" s="19">
        <f>SUMIFS(劳育素质!K:K,劳育素质!B:B,B32,劳育素质!D:D,"=实习实训")</f>
        <v>0</v>
      </c>
      <c r="Z32" s="19">
        <f t="shared" si="6"/>
        <v>1.42195238095238</v>
      </c>
      <c r="AA32" s="19">
        <f>SUMIFS(创新与实践素质!L:L,创新与实践素质!B:B,B32,创新与实践素质!D:D,"=创新创业素质")</f>
        <v>0</v>
      </c>
      <c r="AB32" s="19">
        <f>SUMIFS(创新与实践素质!L:L,创新与实践素质!B:B,B32,创新与实践素质!D:D,"=水平考试")</f>
        <v>0</v>
      </c>
      <c r="AC32" s="19">
        <f>SUMIFS(创新与实践素质!L:L,创新与实践素质!B:B,B32,创新与实践素质!D:D,"=社会实践")</f>
        <v>0</v>
      </c>
      <c r="AD32" s="19">
        <f>_xlfn.MAXIFS(创新与实践素质!L:L,创新与实践素质!B:B,B32,创新与实践素质!D:D,"=社会工作能力（工作表现）",创新与实践素质!G:G,"=上学期")+_xlfn.MAXIFS(创新与实践素质!L:L,创新与实践素质!B:B,B32,创新与实践素质!D:D,"=社会工作能力（工作表现）",创新与实践素质!G:G,"=下学期")</f>
        <v>0</v>
      </c>
      <c r="AE32" s="19">
        <f t="shared" si="7"/>
        <v>0</v>
      </c>
      <c r="AF32" s="19">
        <f t="shared" si="8"/>
        <v>59.9949523809524</v>
      </c>
    </row>
    <row r="33" spans="1:32">
      <c r="A33" s="18" t="s">
        <v>9</v>
      </c>
      <c r="B33" s="18" t="s">
        <v>62</v>
      </c>
      <c r="C33" s="18"/>
      <c r="D33" s="19">
        <f>SUMIFS(德育素质!H:H,德育素质!B:B,B33,德育素质!D:D,"=基本评定分")</f>
        <v>5.28</v>
      </c>
      <c r="E33" s="19">
        <f>MIN(2,SUMIFS(德育素质!H:H,德育素质!A:A,A33,德育素质!D:D,"=集体评定等级分",德育素质!E:E,"=班级考评等级")+SUMIFS(德育素质!H:H,德育素质!B:B,B33,德育素质!D:D,"=集体评定等级分"))</f>
        <v>0</v>
      </c>
      <c r="F33" s="19">
        <f>MIN(2,SUMIFS(德育素质!H:H,德育素质!B:B,B33,德育素质!D:D,"=社会责任记实分"))</f>
        <v>0</v>
      </c>
      <c r="G33" s="19">
        <f>SUMIFS(德育素质!H:H,德育素质!B:B,B33,德育素质!D:D,"=违纪违规扣分")</f>
        <v>0</v>
      </c>
      <c r="H33" s="19">
        <f>SUMIFS(德育素质!H:H,德育素质!B:B,B33,德育素质!D:D,"=荣誉称号加分")</f>
        <v>0</v>
      </c>
      <c r="I33" s="19">
        <f t="shared" si="0"/>
        <v>0</v>
      </c>
      <c r="J33" s="19">
        <f t="shared" si="1"/>
        <v>5.28</v>
      </c>
      <c r="K33" s="19">
        <f>(VLOOKUP(B33,智育素质!B:D,3,0)*10+50)*0.6</f>
        <v>48.534</v>
      </c>
      <c r="L33" s="19">
        <f>SUMIFS(体育素质!J:J,体育素质!B:B,B33,体育素质!D:D,"=体育课程成绩",体育素质!E:E,"=体育成绩")/40</f>
        <v>1.275</v>
      </c>
      <c r="M33" s="19">
        <f>SUMIFS(体育素质!L:L,体育素质!B:B,B33,体育素质!D:D,"=校内外体育竞赛")</f>
        <v>0</v>
      </c>
      <c r="N33" s="19">
        <f>SUMIFS(体育素质!L:L,体育素质!B:B,B33,体育素质!D:D,"=校内外体育活动",体育素质!E:E,"=早锻炼")</f>
        <v>0</v>
      </c>
      <c r="O33" s="19">
        <f>SUMIFS(体育素质!L:L,体育素质!B:B,B33,体育素质!D:D,"=校内外体育活动",体育素质!E:E,"=校园跑")</f>
        <v>0</v>
      </c>
      <c r="P33" s="19">
        <f t="shared" si="2"/>
        <v>0</v>
      </c>
      <c r="Q33" s="19">
        <f t="shared" si="3"/>
        <v>1.275</v>
      </c>
      <c r="R33" s="19">
        <f>MIN(0.5,SUMIFS(美育素质!L:L,美育素质!B:B,B33,美育素质!D:D,"=文化艺术实践"))</f>
        <v>0</v>
      </c>
      <c r="S33" s="19">
        <f>SUMIFS(美育素质!L:L,美育素质!B:B,B33,美育素质!D:D,"=校内外文化艺术竞赛")</f>
        <v>0</v>
      </c>
      <c r="T33" s="19">
        <f t="shared" si="4"/>
        <v>0</v>
      </c>
      <c r="U33" s="19">
        <f>MAX(0,SUMIFS(劳育素质!K:K,劳育素质!B:B,B33,劳育素质!D:D,"=劳动日常考核基础分")+SUMIFS(劳育素质!K:K,劳育素质!B:B,B33,劳育素质!D:D,"=活动与卫生加减分"))</f>
        <v>0</v>
      </c>
      <c r="V33" s="19">
        <f>SUMIFS(劳育素质!K:K,劳育素质!B:B,B33,劳育素质!D:D,"=志愿服务",劳育素质!F:F,"=A类+B类")</f>
        <v>0</v>
      </c>
      <c r="W33" s="19">
        <f>SUMIFS(劳育素质!K:K,劳育素质!B:B,B33,劳育素质!D:D,"=志愿服务",劳育素质!F:F,"=C类")</f>
        <v>0</v>
      </c>
      <c r="X33" s="19">
        <f t="shared" si="5"/>
        <v>0</v>
      </c>
      <c r="Y33" s="19">
        <f>SUMIFS(劳育素质!K:K,劳育素质!B:B,B33,劳育素质!D:D,"=实习实训")</f>
        <v>0</v>
      </c>
      <c r="Z33" s="19">
        <f t="shared" si="6"/>
        <v>0</v>
      </c>
      <c r="AA33" s="19">
        <f>SUMIFS(创新与实践素质!L:L,创新与实践素质!B:B,B33,创新与实践素质!D:D,"=创新创业素质")</f>
        <v>0</v>
      </c>
      <c r="AB33" s="19">
        <f>SUMIFS(创新与实践素质!L:L,创新与实践素质!B:B,B33,创新与实践素质!D:D,"=水平考试")</f>
        <v>0</v>
      </c>
      <c r="AC33" s="19">
        <f>SUMIFS(创新与实践素质!L:L,创新与实践素质!B:B,B33,创新与实践素质!D:D,"=社会实践")</f>
        <v>0</v>
      </c>
      <c r="AD33" s="19">
        <f>_xlfn.MAXIFS(创新与实践素质!L:L,创新与实践素质!B:B,B33,创新与实践素质!D:D,"=社会工作能力（工作表现）",创新与实践素质!G:G,"=上学期")+_xlfn.MAXIFS(创新与实践素质!L:L,创新与实践素质!B:B,B33,创新与实践素质!D:D,"=社会工作能力（工作表现）",创新与实践素质!G:G,"=下学期")</f>
        <v>0</v>
      </c>
      <c r="AE33" s="19">
        <f t="shared" si="7"/>
        <v>0</v>
      </c>
      <c r="AF33" s="19">
        <f t="shared" si="8"/>
        <v>55.089</v>
      </c>
    </row>
    <row r="34" spans="1:32">
      <c r="A34" s="18" t="s">
        <v>9</v>
      </c>
      <c r="B34" s="18" t="s">
        <v>24</v>
      </c>
      <c r="C34" s="18"/>
      <c r="D34" s="19">
        <f>SUMIFS(德育素质!H:H,德育素质!B:B,B34,德育素质!D:D,"=基本评定分")</f>
        <v>5.28</v>
      </c>
      <c r="E34" s="19">
        <f>MIN(2,SUMIFS(德育素质!H:H,德育素质!A:A,A34,德育素质!D:D,"=集体评定等级分",德育素质!E:E,"=班级考评等级")+SUMIFS(德育素质!H:H,德育素质!B:B,B34,德育素质!D:D,"=集体评定等级分"))</f>
        <v>0</v>
      </c>
      <c r="F34" s="19">
        <f>MIN(2,SUMIFS(德育素质!H:H,德育素质!B:B,B34,德育素质!D:D,"=社会责任记实分"))</f>
        <v>0</v>
      </c>
      <c r="G34" s="19">
        <f>SUMIFS(德育素质!H:H,德育素质!B:B,B34,德育素质!D:D,"=违纪违规扣分")</f>
        <v>0</v>
      </c>
      <c r="H34" s="19">
        <f>SUMIFS(德育素质!H:H,德育素质!B:B,B34,德育素质!D:D,"=荣誉称号加分")</f>
        <v>0</v>
      </c>
      <c r="I34" s="19">
        <f t="shared" si="0"/>
        <v>0</v>
      </c>
      <c r="J34" s="19">
        <f t="shared" si="1"/>
        <v>5.28</v>
      </c>
      <c r="K34" s="19">
        <f>(VLOOKUP(B34,智育素质!B:D,3,0)*10+50)*0.6</f>
        <v>46.668</v>
      </c>
      <c r="L34" s="19">
        <f>SUMIFS(体育素质!J:J,体育素质!B:B,B34,体育素质!D:D,"=体育课程成绩",体育素质!E:E,"=体育成绩")/40</f>
        <v>4.085</v>
      </c>
      <c r="M34" s="19">
        <f>SUMIFS(体育素质!L:L,体育素质!B:B,B34,体育素质!D:D,"=校内外体育竞赛")</f>
        <v>0</v>
      </c>
      <c r="N34" s="19">
        <f>SUMIFS(体育素质!L:L,体育素质!B:B,B34,体育素质!D:D,"=校内外体育活动",体育素质!E:E,"=早锻炼")</f>
        <v>0</v>
      </c>
      <c r="O34" s="19">
        <f>SUMIFS(体育素质!L:L,体育素质!B:B,B34,体育素质!D:D,"=校内外体育活动",体育素质!E:E,"=校园跑")</f>
        <v>1</v>
      </c>
      <c r="P34" s="19">
        <f t="shared" si="2"/>
        <v>1</v>
      </c>
      <c r="Q34" s="19">
        <f t="shared" si="3"/>
        <v>5.085</v>
      </c>
      <c r="R34" s="19">
        <f>MIN(0.5,SUMIFS(美育素质!L:L,美育素质!B:B,B34,美育素质!D:D,"=文化艺术实践"))</f>
        <v>0</v>
      </c>
      <c r="S34" s="19">
        <f>SUMIFS(美育素质!L:L,美育素质!B:B,B34,美育素质!D:D,"=校内外文化艺术竞赛")</f>
        <v>0</v>
      </c>
      <c r="T34" s="19">
        <f t="shared" si="4"/>
        <v>0</v>
      </c>
      <c r="U34" s="19">
        <f>MAX(0,SUMIFS(劳育素质!K:K,劳育素质!B:B,B34,劳育素质!D:D,"=劳动日常考核基础分")+SUMIFS(劳育素质!K:K,劳育素质!B:B,B34,劳育素质!D:D,"=活动与卫生加减分"))</f>
        <v>1.46966666666667</v>
      </c>
      <c r="V34" s="19">
        <f>SUMIFS(劳育素质!K:K,劳育素质!B:B,B34,劳育素质!D:D,"=志愿服务",劳育素质!F:F,"=A类+B类")</f>
        <v>1.225</v>
      </c>
      <c r="W34" s="19">
        <f>SUMIFS(劳育素质!K:K,劳育素质!B:B,B34,劳育素质!D:D,"=志愿服务",劳育素质!F:F,"=C类")</f>
        <v>0</v>
      </c>
      <c r="X34" s="19">
        <f t="shared" si="5"/>
        <v>1.225</v>
      </c>
      <c r="Y34" s="19">
        <f>SUMIFS(劳育素质!K:K,劳育素质!B:B,B34,劳育素质!D:D,"=实习实训")</f>
        <v>0</v>
      </c>
      <c r="Z34" s="19">
        <f t="shared" si="6"/>
        <v>2.69466666666667</v>
      </c>
      <c r="AA34" s="19">
        <f>SUMIFS(创新与实践素质!L:L,创新与实践素质!B:B,B34,创新与实践素质!D:D,"=创新创业素质")</f>
        <v>0</v>
      </c>
      <c r="AB34" s="19">
        <f>SUMIFS(创新与实践素质!L:L,创新与实践素质!B:B,B34,创新与实践素质!D:D,"=水平考试")</f>
        <v>0</v>
      </c>
      <c r="AC34" s="19">
        <f>SUMIFS(创新与实践素质!L:L,创新与实践素质!B:B,B34,创新与实践素质!D:D,"=社会实践")</f>
        <v>0</v>
      </c>
      <c r="AD34" s="19">
        <f>_xlfn.MAXIFS(创新与实践素质!L:L,创新与实践素质!B:B,B34,创新与实践素质!D:D,"=社会工作能力（工作表现）",创新与实践素质!G:G,"=上学期")+_xlfn.MAXIFS(创新与实践素质!L:L,创新与实践素质!B:B,B34,创新与实践素质!D:D,"=社会工作能力（工作表现）",创新与实践素质!G:G,"=下学期")</f>
        <v>0</v>
      </c>
      <c r="AE34" s="19">
        <f t="shared" si="7"/>
        <v>0</v>
      </c>
      <c r="AF34" s="19">
        <f t="shared" si="8"/>
        <v>59.7276666666667</v>
      </c>
    </row>
    <row r="35" spans="1:32">
      <c r="A35" s="18" t="s">
        <v>6</v>
      </c>
      <c r="B35" s="18" t="s">
        <v>55</v>
      </c>
      <c r="C35" s="18"/>
      <c r="D35" s="19">
        <f>SUMIFS(德育素质!H:H,德育素质!B:B,B35,德育素质!D:D,"=基本评定分")</f>
        <v>5.28</v>
      </c>
      <c r="E35" s="19">
        <f>MIN(2,SUMIFS(德育素质!H:H,德育素质!A:A,A35,德育素质!D:D,"=集体评定等级分",德育素质!E:E,"=班级考评等级")+SUMIFS(德育素质!H:H,德育素质!B:B,B35,德育素质!D:D,"=集体评定等级分"))</f>
        <v>0</v>
      </c>
      <c r="F35" s="19">
        <f>MIN(2,SUMIFS(德育素质!H:H,德育素质!B:B,B35,德育素质!D:D,"=社会责任记实分"))</f>
        <v>0</v>
      </c>
      <c r="G35" s="19">
        <f>SUMIFS(德育素质!H:H,德育素质!B:B,B35,德育素质!D:D,"=违纪违规扣分")</f>
        <v>0</v>
      </c>
      <c r="H35" s="19">
        <f>SUMIFS(德育素质!H:H,德育素质!B:B,B35,德育素质!D:D,"=荣誉称号加分")</f>
        <v>0</v>
      </c>
      <c r="I35" s="19">
        <f t="shared" si="0"/>
        <v>0</v>
      </c>
      <c r="J35" s="19">
        <f t="shared" si="1"/>
        <v>5.28</v>
      </c>
      <c r="K35" s="19">
        <f>(VLOOKUP(B35,智育素质!B:D,3,0)*10+50)*0.6</f>
        <v>44.85</v>
      </c>
      <c r="L35" s="19">
        <f>SUMIFS(体育素质!J:J,体育素质!B:B,B35,体育素质!D:D,"=体育课程成绩",体育素质!E:E,"=体育成绩")/40</f>
        <v>2.85</v>
      </c>
      <c r="M35" s="19">
        <f>SUMIFS(体育素质!L:L,体育素质!B:B,B35,体育素质!D:D,"=校内外体育竞赛")</f>
        <v>0</v>
      </c>
      <c r="N35" s="19">
        <f>SUMIFS(体育素质!L:L,体育素质!B:B,B35,体育素质!D:D,"=校内外体育活动",体育素质!E:E,"=早锻炼")</f>
        <v>0</v>
      </c>
      <c r="O35" s="19">
        <f>SUMIFS(体育素质!L:L,体育素质!B:B,B35,体育素质!D:D,"=校内外体育活动",体育素质!E:E,"=校园跑")</f>
        <v>0</v>
      </c>
      <c r="P35" s="19">
        <f t="shared" si="2"/>
        <v>0</v>
      </c>
      <c r="Q35" s="19">
        <f t="shared" si="3"/>
        <v>2.85</v>
      </c>
      <c r="R35" s="19">
        <f>MIN(0.5,SUMIFS(美育素质!L:L,美育素质!B:B,B35,美育素质!D:D,"=文化艺术实践"))</f>
        <v>0</v>
      </c>
      <c r="S35" s="19">
        <f>SUMIFS(美育素质!L:L,美育素质!B:B,B35,美育素质!D:D,"=校内外文化艺术竞赛")</f>
        <v>0</v>
      </c>
      <c r="T35" s="19">
        <f t="shared" si="4"/>
        <v>0</v>
      </c>
      <c r="U35" s="19">
        <f>MAX(0,SUMIFS(劳育素质!K:K,劳育素质!B:B,B35,劳育素质!D:D,"=劳动日常考核基础分")+SUMIFS(劳育素质!K:K,劳育素质!B:B,B35,劳育素质!D:D,"=活动与卫生加减分"))</f>
        <v>1.5946</v>
      </c>
      <c r="V35" s="19">
        <f>SUMIFS(劳育素质!K:K,劳育素质!B:B,B35,劳育素质!D:D,"=志愿服务",劳育素质!F:F,"=A类+B类")</f>
        <v>0</v>
      </c>
      <c r="W35" s="19">
        <f>SUMIFS(劳育素质!K:K,劳育素质!B:B,B35,劳育素质!D:D,"=志愿服务",劳育素质!F:F,"=C类")</f>
        <v>0</v>
      </c>
      <c r="X35" s="19">
        <f t="shared" si="5"/>
        <v>0</v>
      </c>
      <c r="Y35" s="19">
        <f>SUMIFS(劳育素质!K:K,劳育素质!B:B,B35,劳育素质!D:D,"=实习实训")</f>
        <v>0</v>
      </c>
      <c r="Z35" s="19">
        <f t="shared" si="6"/>
        <v>1.5946</v>
      </c>
      <c r="AA35" s="19">
        <f>SUMIFS(创新与实践素质!L:L,创新与实践素质!B:B,B35,创新与实践素质!D:D,"=创新创业素质")</f>
        <v>0</v>
      </c>
      <c r="AB35" s="19">
        <f>SUMIFS(创新与实践素质!L:L,创新与实践素质!B:B,B35,创新与实践素质!D:D,"=水平考试")</f>
        <v>0</v>
      </c>
      <c r="AC35" s="19">
        <f>SUMIFS(创新与实践素质!L:L,创新与实践素质!B:B,B35,创新与实践素质!D:D,"=社会实践")</f>
        <v>0</v>
      </c>
      <c r="AD35" s="19">
        <f>_xlfn.MAXIFS(创新与实践素质!L:L,创新与实践素质!B:B,B35,创新与实践素质!D:D,"=社会工作能力（工作表现）",创新与实践素质!G:G,"=上学期")+_xlfn.MAXIFS(创新与实践素质!L:L,创新与实践素质!B:B,B35,创新与实践素质!D:D,"=社会工作能力（工作表现）",创新与实践素质!G:G,"=下学期")</f>
        <v>0</v>
      </c>
      <c r="AE35" s="19">
        <f t="shared" si="7"/>
        <v>0</v>
      </c>
      <c r="AF35" s="19">
        <f t="shared" si="8"/>
        <v>54.5746</v>
      </c>
    </row>
    <row r="36" spans="1:32">
      <c r="A36" s="18" t="s">
        <v>6</v>
      </c>
      <c r="B36" s="18" t="s">
        <v>53</v>
      </c>
      <c r="C36" s="18"/>
      <c r="D36" s="19">
        <f>SUMIFS(德育素质!H:H,德育素质!B:B,B36,德育素质!D:D,"=基本评定分")</f>
        <v>5.28</v>
      </c>
      <c r="E36" s="19">
        <f>MIN(2,SUMIFS(德育素质!H:H,德育素质!A:A,A36,德育素质!D:D,"=集体评定等级分",德育素质!E:E,"=班级考评等级")+SUMIFS(德育素质!H:H,德育素质!B:B,B36,德育素质!D:D,"=集体评定等级分"))</f>
        <v>0</v>
      </c>
      <c r="F36" s="19">
        <f>MIN(2,SUMIFS(德育素质!H:H,德育素质!B:B,B36,德育素质!D:D,"=社会责任记实分"))</f>
        <v>0</v>
      </c>
      <c r="G36" s="19">
        <f>SUMIFS(德育素质!H:H,德育素质!B:B,B36,德育素质!D:D,"=违纪违规扣分")</f>
        <v>0</v>
      </c>
      <c r="H36" s="19">
        <f>SUMIFS(德育素质!H:H,德育素质!B:B,B36,德育素质!D:D,"=荣誉称号加分")</f>
        <v>0</v>
      </c>
      <c r="I36" s="19">
        <f t="shared" ref="I36:I60" si="9">MIN(4,E36+F36+G36+H36)</f>
        <v>0</v>
      </c>
      <c r="J36" s="19">
        <f t="shared" ref="J36:J60" si="10">D36+I36</f>
        <v>5.28</v>
      </c>
      <c r="K36" s="19">
        <f>(VLOOKUP(B36,智育素质!B:D,3,0)*10+50)*0.6</f>
        <v>42.582</v>
      </c>
      <c r="L36" s="19">
        <f>SUMIFS(体育素质!J:J,体育素质!B:B,B36,体育素质!D:D,"=体育课程成绩",体育素质!E:E,"=体育成绩")/40</f>
        <v>4.06666666666667</v>
      </c>
      <c r="M36" s="19">
        <f>SUMIFS(体育素质!L:L,体育素质!B:B,B36,体育素质!D:D,"=校内外体育竞赛")</f>
        <v>0</v>
      </c>
      <c r="N36" s="19">
        <f>SUMIFS(体育素质!L:L,体育素质!B:B,B36,体育素质!D:D,"=校内外体育活动",体育素质!E:E,"=早锻炼")</f>
        <v>0</v>
      </c>
      <c r="O36" s="19">
        <f>SUMIFS(体育素质!L:L,体育素质!B:B,B36,体育素质!D:D,"=校内外体育活动",体育素质!E:E,"=校园跑")</f>
        <v>0</v>
      </c>
      <c r="P36" s="19">
        <f t="shared" ref="P36:P60" si="11">MIN(3,M36+N36+O36)</f>
        <v>0</v>
      </c>
      <c r="Q36" s="19">
        <f t="shared" ref="Q36:Q60" si="12">MIN(8,P36+L36)</f>
        <v>4.06666666666667</v>
      </c>
      <c r="R36" s="19">
        <f>MIN(0.5,SUMIFS(美育素质!L:L,美育素质!B:B,B36,美育素质!D:D,"=文化艺术实践"))</f>
        <v>0</v>
      </c>
      <c r="S36" s="19">
        <f>SUMIFS(美育素质!L:L,美育素质!B:B,B36,美育素质!D:D,"=校内外文化艺术竞赛")</f>
        <v>0</v>
      </c>
      <c r="T36" s="19">
        <f t="shared" ref="T36:T60" si="13">MIN(5,S36+R36)</f>
        <v>0</v>
      </c>
      <c r="U36" s="19">
        <f>MAX(0,SUMIFS(劳育素质!K:K,劳育素质!B:B,B36,劳育素质!D:D,"=劳动日常考核基础分")+SUMIFS(劳育素质!K:K,劳育素质!B:B,B36,劳育素质!D:D,"=活动与卫生加减分"))</f>
        <v>1.389</v>
      </c>
      <c r="V36" s="19">
        <f>SUMIFS(劳育素质!K:K,劳育素质!B:B,B36,劳育素质!D:D,"=志愿服务",劳育素质!F:F,"=A类+B类")</f>
        <v>0</v>
      </c>
      <c r="W36" s="19">
        <f>SUMIFS(劳育素质!K:K,劳育素质!B:B,B36,劳育素质!D:D,"=志愿服务",劳育素质!F:F,"=C类")</f>
        <v>0</v>
      </c>
      <c r="X36" s="19">
        <f t="shared" ref="X36:X60" si="14">MIN(4,V36+W36)</f>
        <v>0</v>
      </c>
      <c r="Y36" s="19">
        <f>SUMIFS(劳育素质!K:K,劳育素质!B:B,B36,劳育素质!D:D,"=实习实训")</f>
        <v>0</v>
      </c>
      <c r="Z36" s="19">
        <f t="shared" ref="Z36:Z60" si="15">MIN(5,U36+X36+Y36)</f>
        <v>1.389</v>
      </c>
      <c r="AA36" s="19">
        <f>SUMIFS(创新与实践素质!L:L,创新与实践素质!B:B,B36,创新与实践素质!D:D,"=创新创业素质")</f>
        <v>0</v>
      </c>
      <c r="AB36" s="19">
        <f>SUMIFS(创新与实践素质!L:L,创新与实践素质!B:B,B36,创新与实践素质!D:D,"=水平考试")</f>
        <v>0</v>
      </c>
      <c r="AC36" s="19">
        <f>SUMIFS(创新与实践素质!L:L,创新与实践素质!B:B,B36,创新与实践素质!D:D,"=社会实践")</f>
        <v>0</v>
      </c>
      <c r="AD36" s="19">
        <f>_xlfn.MAXIFS(创新与实践素质!L:L,创新与实践素质!B:B,B36,创新与实践素质!D:D,"=社会工作能力（工作表现）",创新与实践素质!G:G,"=上学期")+_xlfn.MAXIFS(创新与实践素质!L:L,创新与实践素质!B:B,B36,创新与实践素质!D:D,"=社会工作能力（工作表现）",创新与实践素质!G:G,"=下学期")</f>
        <v>0</v>
      </c>
      <c r="AE36" s="19">
        <f t="shared" ref="AE36:AE60" si="16">MIN(12,AA36+AB36+AC36+AD36)</f>
        <v>0</v>
      </c>
      <c r="AF36" s="19">
        <f t="shared" ref="AF36:AF60" si="17">AE36+Z36+T36+Q36+K36+J36</f>
        <v>53.3176666666667</v>
      </c>
    </row>
    <row r="37" spans="1:32">
      <c r="A37" s="18" t="s">
        <v>6</v>
      </c>
      <c r="B37" s="18" t="s">
        <v>37</v>
      </c>
      <c r="C37" s="18"/>
      <c r="D37" s="19">
        <f>SUMIFS(德育素质!H:H,德育素质!B:B,B37,德育素质!D:D,"=基本评定分")</f>
        <v>5.28</v>
      </c>
      <c r="E37" s="19">
        <f>MIN(2,SUMIFS(德育素质!H:H,德育素质!A:A,A37,德育素质!D:D,"=集体评定等级分",德育素质!E:E,"=班级考评等级")+SUMIFS(德育素质!H:H,德育素质!B:B,B37,德育素质!D:D,"=集体评定等级分"))</f>
        <v>0</v>
      </c>
      <c r="F37" s="19">
        <f>MIN(2,SUMIFS(德育素质!H:H,德育素质!B:B,B37,德育素质!D:D,"=社会责任记实分"))</f>
        <v>0</v>
      </c>
      <c r="G37" s="19">
        <f>SUMIFS(德育素质!H:H,德育素质!B:B,B37,德育素质!D:D,"=违纪违规扣分")</f>
        <v>0</v>
      </c>
      <c r="H37" s="19">
        <f>SUMIFS(德育素质!H:H,德育素质!B:B,B37,德育素质!D:D,"=荣誉称号加分")</f>
        <v>0</v>
      </c>
      <c r="I37" s="19">
        <f t="shared" si="9"/>
        <v>0</v>
      </c>
      <c r="J37" s="19">
        <f t="shared" si="10"/>
        <v>5.28</v>
      </c>
      <c r="K37" s="19">
        <f>(VLOOKUP(B37,智育素质!B:D,3,0)*10+50)*0.6</f>
        <v>49.356</v>
      </c>
      <c r="L37" s="19">
        <f>SUMIFS(体育素质!J:J,体育素质!B:B,B37,体育素质!D:D,"=体育课程成绩",体育素质!E:E,"=体育成绩")/40</f>
        <v>3.225</v>
      </c>
      <c r="M37" s="19">
        <f>SUMIFS(体育素质!L:L,体育素质!B:B,B37,体育素质!D:D,"=校内外体育竞赛")</f>
        <v>0</v>
      </c>
      <c r="N37" s="19">
        <f>SUMIFS(体育素质!L:L,体育素质!B:B,B37,体育素质!D:D,"=校内外体育活动",体育素质!E:E,"=早锻炼")</f>
        <v>0</v>
      </c>
      <c r="O37" s="19">
        <f>SUMIFS(体育素质!L:L,体育素质!B:B,B37,体育素质!D:D,"=校内外体育活动",体育素质!E:E,"=校园跑")</f>
        <v>0</v>
      </c>
      <c r="P37" s="19">
        <f t="shared" si="11"/>
        <v>0</v>
      </c>
      <c r="Q37" s="19">
        <f t="shared" si="12"/>
        <v>3.225</v>
      </c>
      <c r="R37" s="19">
        <f>MIN(0.5,SUMIFS(美育素质!L:L,美育素质!B:B,B37,美育素质!D:D,"=文化艺术实践"))</f>
        <v>0</v>
      </c>
      <c r="S37" s="19">
        <f>SUMIFS(美育素质!L:L,美育素质!B:B,B37,美育素质!D:D,"=校内外文化艺术竞赛")</f>
        <v>0</v>
      </c>
      <c r="T37" s="19">
        <f t="shared" si="13"/>
        <v>0</v>
      </c>
      <c r="U37" s="19">
        <f>MAX(0,SUMIFS(劳育素质!K:K,劳育素质!B:B,B37,劳育素质!D:D,"=劳动日常考核基础分")+SUMIFS(劳育素质!K:K,劳育素质!B:B,B37,劳育素质!D:D,"=活动与卫生加减分"))</f>
        <v>1.389</v>
      </c>
      <c r="V37" s="19">
        <f>SUMIFS(劳育素质!K:K,劳育素质!B:B,B37,劳育素质!D:D,"=志愿服务",劳育素质!F:F,"=A类+B类")</f>
        <v>0</v>
      </c>
      <c r="W37" s="19">
        <f>SUMIFS(劳育素质!K:K,劳育素质!B:B,B37,劳育素质!D:D,"=志愿服务",劳育素质!F:F,"=C类")</f>
        <v>0</v>
      </c>
      <c r="X37" s="19">
        <f t="shared" si="14"/>
        <v>0</v>
      </c>
      <c r="Y37" s="19">
        <f>SUMIFS(劳育素质!K:K,劳育素质!B:B,B37,劳育素质!D:D,"=实习实训")</f>
        <v>0</v>
      </c>
      <c r="Z37" s="19">
        <f t="shared" si="15"/>
        <v>1.389</v>
      </c>
      <c r="AA37" s="19">
        <f>SUMIFS(创新与实践素质!L:L,创新与实践素质!B:B,B37,创新与实践素质!D:D,"=创新创业素质")</f>
        <v>0</v>
      </c>
      <c r="AB37" s="19">
        <f>SUMIFS(创新与实践素质!L:L,创新与实践素质!B:B,B37,创新与实践素质!D:D,"=水平考试")</f>
        <v>0</v>
      </c>
      <c r="AC37" s="19">
        <f>SUMIFS(创新与实践素质!L:L,创新与实践素质!B:B,B37,创新与实践素质!D:D,"=社会实践")</f>
        <v>0</v>
      </c>
      <c r="AD37" s="19">
        <f>_xlfn.MAXIFS(创新与实践素质!L:L,创新与实践素质!B:B,B37,创新与实践素质!D:D,"=社会工作能力（工作表现）",创新与实践素质!G:G,"=上学期")+_xlfn.MAXIFS(创新与实践素质!L:L,创新与实践素质!B:B,B37,创新与实践素质!D:D,"=社会工作能力（工作表现）",创新与实践素质!G:G,"=下学期")</f>
        <v>0</v>
      </c>
      <c r="AE37" s="19">
        <f t="shared" si="16"/>
        <v>0</v>
      </c>
      <c r="AF37" s="19">
        <f t="shared" si="17"/>
        <v>59.25</v>
      </c>
    </row>
    <row r="38" spans="1:32">
      <c r="A38" s="18" t="s">
        <v>6</v>
      </c>
      <c r="B38" s="18" t="s">
        <v>49</v>
      </c>
      <c r="C38" s="18"/>
      <c r="D38" s="19">
        <f>SUMIFS(德育素质!H:H,德育素质!B:B,B38,德育素质!D:D,"=基本评定分")</f>
        <v>6</v>
      </c>
      <c r="E38" s="19">
        <f>MIN(2,SUMIFS(德育素质!H:H,德育素质!A:A,A38,德育素质!D:D,"=集体评定等级分",德育素质!E:E,"=班级考评等级")+SUMIFS(德育素质!H:H,德育素质!B:B,B38,德育素质!D:D,"=集体评定等级分"))</f>
        <v>0</v>
      </c>
      <c r="F38" s="19">
        <f>MIN(2,SUMIFS(德育素质!H:H,德育素质!B:B,B38,德育素质!D:D,"=社会责任记实分"))</f>
        <v>0</v>
      </c>
      <c r="G38" s="19">
        <f>SUMIFS(德育素质!H:H,德育素质!B:B,B38,德育素质!D:D,"=违纪违规扣分")</f>
        <v>0</v>
      </c>
      <c r="H38" s="19">
        <f>SUMIFS(德育素质!H:H,德育素质!B:B,B38,德育素质!D:D,"=荣誉称号加分")</f>
        <v>0</v>
      </c>
      <c r="I38" s="19">
        <f t="shared" si="9"/>
        <v>0</v>
      </c>
      <c r="J38" s="19">
        <f t="shared" si="10"/>
        <v>6</v>
      </c>
      <c r="K38" s="19">
        <f>(VLOOKUP(B38,智育素质!B:D,3,0)*10+50)*0.6</f>
        <v>50.724</v>
      </c>
      <c r="L38" s="19">
        <f>SUMIFS(体育素质!J:J,体育素质!B:B,B38,体育素质!D:D,"=体育课程成绩",体育素质!E:E,"=体育成绩")/40</f>
        <v>3.76</v>
      </c>
      <c r="M38" s="19">
        <f>SUMIFS(体育素质!L:L,体育素质!B:B,B38,体育素质!D:D,"=校内外体育竞赛")</f>
        <v>0</v>
      </c>
      <c r="N38" s="19">
        <f>SUMIFS(体育素质!L:L,体育素质!B:B,B38,体育素质!D:D,"=校内外体育活动",体育素质!E:E,"=早锻炼")</f>
        <v>0</v>
      </c>
      <c r="O38" s="19">
        <f>SUMIFS(体育素质!L:L,体育素质!B:B,B38,体育素质!D:D,"=校内外体育活动",体育素质!E:E,"=校园跑")</f>
        <v>0.71875</v>
      </c>
      <c r="P38" s="19">
        <f t="shared" si="11"/>
        <v>0.71875</v>
      </c>
      <c r="Q38" s="19">
        <f t="shared" si="12"/>
        <v>4.47875</v>
      </c>
      <c r="R38" s="19">
        <f>MIN(0.5,SUMIFS(美育素质!L:L,美育素质!B:B,B38,美育素质!D:D,"=文化艺术实践"))</f>
        <v>0</v>
      </c>
      <c r="S38" s="19">
        <f>SUMIFS(美育素质!L:L,美育素质!B:B,B38,美育素质!D:D,"=校内外文化艺术竞赛")</f>
        <v>0</v>
      </c>
      <c r="T38" s="19">
        <f t="shared" si="13"/>
        <v>0</v>
      </c>
      <c r="U38" s="19">
        <f>MAX(0,SUMIFS(劳育素质!K:K,劳育素质!B:B,B38,劳育素质!D:D,"=劳动日常考核基础分")+SUMIFS(劳育素质!K:K,劳育素质!B:B,B38,劳育素质!D:D,"=活动与卫生加减分"))</f>
        <v>1.51683333333333</v>
      </c>
      <c r="V38" s="19">
        <f>SUMIFS(劳育素质!K:K,劳育素质!B:B,B38,劳育素质!D:D,"=志愿服务",劳育素质!F:F,"=A类+B类")</f>
        <v>0.15</v>
      </c>
      <c r="W38" s="19">
        <f>SUMIFS(劳育素质!K:K,劳育素质!B:B,B38,劳育素质!D:D,"=志愿服务",劳育素质!F:F,"=C类")</f>
        <v>0</v>
      </c>
      <c r="X38" s="19">
        <f t="shared" si="14"/>
        <v>0.15</v>
      </c>
      <c r="Y38" s="19">
        <f>SUMIFS(劳育素质!K:K,劳育素质!B:B,B38,劳育素质!D:D,"=实习实训")</f>
        <v>0</v>
      </c>
      <c r="Z38" s="19">
        <f t="shared" si="15"/>
        <v>1.66683333333333</v>
      </c>
      <c r="AA38" s="19">
        <f>SUMIFS(创新与实践素质!L:L,创新与实践素质!B:B,B38,创新与实践素质!D:D,"=创新创业素质")</f>
        <v>0</v>
      </c>
      <c r="AB38" s="19">
        <f>SUMIFS(创新与实践素质!L:L,创新与实践素质!B:B,B38,创新与实践素质!D:D,"=水平考试")</f>
        <v>0</v>
      </c>
      <c r="AC38" s="19">
        <f>SUMIFS(创新与实践素质!L:L,创新与实践素质!B:B,B38,创新与实践素质!D:D,"=社会实践")</f>
        <v>0</v>
      </c>
      <c r="AD38" s="19">
        <f>_xlfn.MAXIFS(创新与实践素质!L:L,创新与实践素质!B:B,B38,创新与实践素质!D:D,"=社会工作能力（工作表现）",创新与实践素质!G:G,"=上学期")+_xlfn.MAXIFS(创新与实践素质!L:L,创新与实践素质!B:B,B38,创新与实践素质!D:D,"=社会工作能力（工作表现）",创新与实践素质!G:G,"=下学期")</f>
        <v>1</v>
      </c>
      <c r="AE38" s="19">
        <f t="shared" si="16"/>
        <v>1</v>
      </c>
      <c r="AF38" s="19">
        <f t="shared" si="17"/>
        <v>63.8695833333333</v>
      </c>
    </row>
    <row r="39" spans="1:32">
      <c r="A39" s="18" t="s">
        <v>6</v>
      </c>
      <c r="B39" s="18" t="s">
        <v>7</v>
      </c>
      <c r="C39" s="18"/>
      <c r="D39" s="19">
        <f>SUMIFS(德育素质!H:H,德育素质!B:B,B39,德育素质!D:D,"=基本评定分")</f>
        <v>5.28</v>
      </c>
      <c r="E39" s="19">
        <f>MIN(2,SUMIFS(德育素质!H:H,德育素质!A:A,A39,德育素质!D:D,"=集体评定等级分",德育素质!E:E,"=班级考评等级")+SUMIFS(德育素质!H:H,德育素质!B:B,B39,德育素质!D:D,"=集体评定等级分"))</f>
        <v>0</v>
      </c>
      <c r="F39" s="19">
        <f>MIN(2,SUMIFS(德育素质!H:H,德育素质!B:B,B39,德育素质!D:D,"=社会责任记实分"))</f>
        <v>0.25</v>
      </c>
      <c r="G39" s="19">
        <f>SUMIFS(德育素质!H:H,德育素质!B:B,B39,德育素质!D:D,"=违纪违规扣分")</f>
        <v>0</v>
      </c>
      <c r="H39" s="19">
        <f>SUMIFS(德育素质!H:H,德育素质!B:B,B39,德育素质!D:D,"=荣誉称号加分")</f>
        <v>0</v>
      </c>
      <c r="I39" s="19">
        <f t="shared" si="9"/>
        <v>0.25</v>
      </c>
      <c r="J39" s="19">
        <f t="shared" si="10"/>
        <v>5.53</v>
      </c>
      <c r="K39" s="19">
        <f>(VLOOKUP(B39,智育素质!B:D,3,0)*10+50)*0.6</f>
        <v>37.812</v>
      </c>
      <c r="L39" s="19">
        <f>SUMIFS(体育素质!J:J,体育素质!B:B,B39,体育素质!D:D,"=体育课程成绩",体育素质!E:E,"=体育成绩")/40</f>
        <v>1.625</v>
      </c>
      <c r="M39" s="19">
        <f>SUMIFS(体育素质!L:L,体育素质!B:B,B39,体育素质!D:D,"=校内外体育竞赛")</f>
        <v>0</v>
      </c>
      <c r="N39" s="19">
        <f>SUMIFS(体育素质!L:L,体育素质!B:B,B39,体育素质!D:D,"=校内外体育活动",体育素质!E:E,"=早锻炼")</f>
        <v>0</v>
      </c>
      <c r="O39" s="19">
        <f>SUMIFS(体育素质!L:L,体育素质!B:B,B39,体育素质!D:D,"=校内外体育活动",体育素质!E:E,"=校园跑")</f>
        <v>0</v>
      </c>
      <c r="P39" s="19">
        <f t="shared" si="11"/>
        <v>0</v>
      </c>
      <c r="Q39" s="19">
        <f t="shared" si="12"/>
        <v>1.625</v>
      </c>
      <c r="R39" s="19">
        <f>MIN(0.5,SUMIFS(美育素质!L:L,美育素质!B:B,B39,美育素质!D:D,"=文化艺术实践"))</f>
        <v>0</v>
      </c>
      <c r="S39" s="19">
        <f>SUMIFS(美育素质!L:L,美育素质!B:B,B39,美育素质!D:D,"=校内外文化艺术竞赛")</f>
        <v>0</v>
      </c>
      <c r="T39" s="19">
        <f t="shared" si="13"/>
        <v>0</v>
      </c>
      <c r="U39" s="19">
        <f>MAX(0,SUMIFS(劳育素质!K:K,劳育素质!B:B,B39,劳育素质!D:D,"=劳动日常考核基础分")+SUMIFS(劳育素质!K:K,劳育素质!B:B,B39,劳育素质!D:D,"=活动与卫生加减分"))</f>
        <v>1.36566666666667</v>
      </c>
      <c r="V39" s="19">
        <f>SUMIFS(劳育素质!K:K,劳育素质!B:B,B39,劳育素质!D:D,"=志愿服务",劳育素质!F:F,"=A类+B类")</f>
        <v>0</v>
      </c>
      <c r="W39" s="19">
        <f>SUMIFS(劳育素质!K:K,劳育素质!B:B,B39,劳育素质!D:D,"=志愿服务",劳育素质!F:F,"=C类")</f>
        <v>0</v>
      </c>
      <c r="X39" s="19">
        <f t="shared" si="14"/>
        <v>0</v>
      </c>
      <c r="Y39" s="19">
        <f>SUMIFS(劳育素质!K:K,劳育素质!B:B,B39,劳育素质!D:D,"=实习实训")</f>
        <v>0</v>
      </c>
      <c r="Z39" s="19">
        <f t="shared" si="15"/>
        <v>1.36566666666667</v>
      </c>
      <c r="AA39" s="19">
        <f>SUMIFS(创新与实践素质!L:L,创新与实践素质!B:B,B39,创新与实践素质!D:D,"=创新创业素质")</f>
        <v>0</v>
      </c>
      <c r="AB39" s="19">
        <f>SUMIFS(创新与实践素质!L:L,创新与实践素质!B:B,B39,创新与实践素质!D:D,"=水平考试")</f>
        <v>0</v>
      </c>
      <c r="AC39" s="19">
        <f>SUMIFS(创新与实践素质!L:L,创新与实践素质!B:B,B39,创新与实践素质!D:D,"=社会实践")</f>
        <v>0</v>
      </c>
      <c r="AD39" s="19">
        <f>_xlfn.MAXIFS(创新与实践素质!L:L,创新与实践素质!B:B,B39,创新与实践素质!D:D,"=社会工作能力（工作表现）",创新与实践素质!G:G,"=上学期")+_xlfn.MAXIFS(创新与实践素质!L:L,创新与实践素质!B:B,B39,创新与实践素质!D:D,"=社会工作能力（工作表现）",创新与实践素质!G:G,"=下学期")</f>
        <v>0</v>
      </c>
      <c r="AE39" s="19">
        <f t="shared" si="16"/>
        <v>0</v>
      </c>
      <c r="AF39" s="19">
        <f t="shared" si="17"/>
        <v>46.3326666666667</v>
      </c>
    </row>
    <row r="40" spans="1:32">
      <c r="A40" s="18" t="s">
        <v>6</v>
      </c>
      <c r="B40" s="18" t="s">
        <v>40</v>
      </c>
      <c r="C40" s="18"/>
      <c r="D40" s="19">
        <f>SUMIFS(德育素质!H:H,德育素质!B:B,B40,德育素质!D:D,"=基本评定分")</f>
        <v>5.28</v>
      </c>
      <c r="E40" s="19">
        <f>MIN(2,SUMIFS(德育素质!H:H,德育素质!A:A,A40,德育素质!D:D,"=集体评定等级分",德育素质!E:E,"=班级考评等级")+SUMIFS(德育素质!H:H,德育素质!B:B,B40,德育素质!D:D,"=集体评定等级分"))</f>
        <v>0</v>
      </c>
      <c r="F40" s="19">
        <f>MIN(2,SUMIFS(德育素质!H:H,德育素质!B:B,B40,德育素质!D:D,"=社会责任记实分"))</f>
        <v>0</v>
      </c>
      <c r="G40" s="19">
        <f>SUMIFS(德育素质!H:H,德育素质!B:B,B40,德育素质!D:D,"=违纪违规扣分")</f>
        <v>0</v>
      </c>
      <c r="H40" s="19">
        <f>SUMIFS(德育素质!H:H,德育素质!B:B,B40,德育素质!D:D,"=荣誉称号加分")</f>
        <v>0</v>
      </c>
      <c r="I40" s="19">
        <f t="shared" si="9"/>
        <v>0</v>
      </c>
      <c r="J40" s="19">
        <f t="shared" si="10"/>
        <v>5.28</v>
      </c>
      <c r="K40" s="19">
        <f>(VLOOKUP(B40,智育素质!B:D,3,0)*10+50)*0.6</f>
        <v>35.442</v>
      </c>
      <c r="L40" s="19">
        <f>SUMIFS(体育素质!J:J,体育素质!B:B,B40,体育素质!D:D,"=体育课程成绩",体育素质!E:E,"=体育成绩")/40</f>
        <v>3.325</v>
      </c>
      <c r="M40" s="19">
        <f>SUMIFS(体育素质!L:L,体育素质!B:B,B40,体育素质!D:D,"=校内外体育竞赛")</f>
        <v>0</v>
      </c>
      <c r="N40" s="19">
        <f>SUMIFS(体育素质!L:L,体育素质!B:B,B40,体育素质!D:D,"=校内外体育活动",体育素质!E:E,"=早锻炼")</f>
        <v>0</v>
      </c>
      <c r="O40" s="19">
        <f>SUMIFS(体育素质!L:L,体育素质!B:B,B40,体育素质!D:D,"=校内外体育活动",体育素质!E:E,"=校园跑")</f>
        <v>0</v>
      </c>
      <c r="P40" s="19">
        <f t="shared" si="11"/>
        <v>0</v>
      </c>
      <c r="Q40" s="19">
        <f t="shared" si="12"/>
        <v>3.325</v>
      </c>
      <c r="R40" s="19">
        <f>MIN(0.5,SUMIFS(美育素质!L:L,美育素质!B:B,B40,美育素质!D:D,"=文化艺术实践"))</f>
        <v>0</v>
      </c>
      <c r="S40" s="19">
        <f>SUMIFS(美育素质!L:L,美育素质!B:B,B40,美育素质!D:D,"=校内外文化艺术竞赛")</f>
        <v>0</v>
      </c>
      <c r="T40" s="19">
        <f t="shared" si="13"/>
        <v>0</v>
      </c>
      <c r="U40" s="19">
        <f>MAX(0,SUMIFS(劳育素质!K:K,劳育素质!B:B,B40,劳育素质!D:D,"=劳动日常考核基础分")+SUMIFS(劳育素质!K:K,劳育素质!B:B,B40,劳育素质!D:D,"=活动与卫生加减分"))</f>
        <v>1.4828</v>
      </c>
      <c r="V40" s="19">
        <f>SUMIFS(劳育素质!K:K,劳育素质!B:B,B40,劳育素质!D:D,"=志愿服务",劳育素质!F:F,"=A类+B类")</f>
        <v>0</v>
      </c>
      <c r="W40" s="19">
        <f>SUMIFS(劳育素质!K:K,劳育素质!B:B,B40,劳育素质!D:D,"=志愿服务",劳育素质!F:F,"=C类")</f>
        <v>0</v>
      </c>
      <c r="X40" s="19">
        <f t="shared" si="14"/>
        <v>0</v>
      </c>
      <c r="Y40" s="19">
        <f>SUMIFS(劳育素质!K:K,劳育素质!B:B,B40,劳育素质!D:D,"=实习实训")</f>
        <v>0</v>
      </c>
      <c r="Z40" s="19">
        <f t="shared" si="15"/>
        <v>1.4828</v>
      </c>
      <c r="AA40" s="19">
        <f>SUMIFS(创新与实践素质!L:L,创新与实践素质!B:B,B40,创新与实践素质!D:D,"=创新创业素质")</f>
        <v>0</v>
      </c>
      <c r="AB40" s="19">
        <f>SUMIFS(创新与实践素质!L:L,创新与实践素质!B:B,B40,创新与实践素质!D:D,"=水平考试")</f>
        <v>0</v>
      </c>
      <c r="AC40" s="19">
        <f>SUMIFS(创新与实践素质!L:L,创新与实践素质!B:B,B40,创新与实践素质!D:D,"=社会实践")</f>
        <v>0</v>
      </c>
      <c r="AD40" s="19">
        <f>_xlfn.MAXIFS(创新与实践素质!L:L,创新与实践素质!B:B,B40,创新与实践素质!D:D,"=社会工作能力（工作表现）",创新与实践素质!G:G,"=上学期")+_xlfn.MAXIFS(创新与实践素质!L:L,创新与实践素质!B:B,B40,创新与实践素质!D:D,"=社会工作能力（工作表现）",创新与实践素质!G:G,"=下学期")</f>
        <v>0</v>
      </c>
      <c r="AE40" s="19">
        <f t="shared" si="16"/>
        <v>0</v>
      </c>
      <c r="AF40" s="19">
        <f t="shared" si="17"/>
        <v>45.5298</v>
      </c>
    </row>
    <row r="41" spans="1:32">
      <c r="A41" s="18" t="s">
        <v>6</v>
      </c>
      <c r="B41" s="18" t="s">
        <v>46</v>
      </c>
      <c r="C41" s="18"/>
      <c r="D41" s="19">
        <f>SUMIFS(德育素质!H:H,德育素质!B:B,B41,德育素质!D:D,"=基本评定分")</f>
        <v>6</v>
      </c>
      <c r="E41" s="19">
        <f>MIN(2,SUMIFS(德育素质!H:H,德育素质!A:A,A41,德育素质!D:D,"=集体评定等级分",德育素质!E:E,"=班级考评等级")+SUMIFS(德育素质!H:H,德育素质!B:B,B41,德育素质!D:D,"=集体评定等级分"))</f>
        <v>0</v>
      </c>
      <c r="F41" s="19">
        <f>MIN(2,SUMIFS(德育素质!H:H,德育素质!B:B,B41,德育素质!D:D,"=社会责任记实分"))</f>
        <v>0.1</v>
      </c>
      <c r="G41" s="19">
        <f>SUMIFS(德育素质!H:H,德育素质!B:B,B41,德育素质!D:D,"=违纪违规扣分")</f>
        <v>0</v>
      </c>
      <c r="H41" s="19">
        <f>SUMIFS(德育素质!H:H,德育素质!B:B,B41,德育素质!D:D,"=荣誉称号加分")</f>
        <v>0.25</v>
      </c>
      <c r="I41" s="19">
        <f t="shared" si="9"/>
        <v>0.35</v>
      </c>
      <c r="J41" s="19">
        <f t="shared" si="10"/>
        <v>6.35</v>
      </c>
      <c r="K41" s="19">
        <f>(VLOOKUP(B41,智育素质!B:D,3,0)*10+50)*0.6</f>
        <v>50.712</v>
      </c>
      <c r="L41" s="19">
        <f>SUMIFS(体育素质!J:J,体育素质!B:B,B41,体育素质!D:D,"=体育课程成绩",体育素质!E:E,"=体育成绩")/40</f>
        <v>3.775</v>
      </c>
      <c r="M41" s="19">
        <f>SUMIFS(体育素质!L:L,体育素质!B:B,B41,体育素质!D:D,"=校内外体育竞赛")</f>
        <v>0</v>
      </c>
      <c r="N41" s="19">
        <f>SUMIFS(体育素质!L:L,体育素质!B:B,B41,体育素质!D:D,"=校内外体育活动",体育素质!E:E,"=早锻炼")</f>
        <v>0</v>
      </c>
      <c r="O41" s="19">
        <f>SUMIFS(体育素质!L:L,体育素质!B:B,B41,体育素质!D:D,"=校内外体育活动",体育素质!E:E,"=校园跑")</f>
        <v>0.5</v>
      </c>
      <c r="P41" s="19">
        <f t="shared" si="11"/>
        <v>0.5</v>
      </c>
      <c r="Q41" s="19">
        <f t="shared" si="12"/>
        <v>4.275</v>
      </c>
      <c r="R41" s="19">
        <f>MIN(0.5,SUMIFS(美育素质!L:L,美育素质!B:B,B41,美育素质!D:D,"=文化艺术实践"))</f>
        <v>0</v>
      </c>
      <c r="S41" s="19">
        <f>SUMIFS(美育素质!L:L,美育素质!B:B,B41,美育素质!D:D,"=校内外文化艺术竞赛")</f>
        <v>0</v>
      </c>
      <c r="T41" s="19">
        <f t="shared" si="13"/>
        <v>0</v>
      </c>
      <c r="U41" s="19">
        <f>MAX(0,SUMIFS(劳育素质!K:K,劳育素质!B:B,B41,劳育素质!D:D,"=劳动日常考核基础分")+SUMIFS(劳育素质!K:K,劳育素质!B:B,B41,劳育素质!D:D,"=活动与卫生加减分"))</f>
        <v>1.5532</v>
      </c>
      <c r="V41" s="19">
        <f>SUMIFS(劳育素质!K:K,劳育素质!B:B,B41,劳育素质!D:D,"=志愿服务",劳育素质!F:F,"=A类+B类")</f>
        <v>1.975</v>
      </c>
      <c r="W41" s="19">
        <f>SUMIFS(劳育素质!K:K,劳育素质!B:B,B41,劳育素质!D:D,"=志愿服务",劳育素质!F:F,"=C类")</f>
        <v>0</v>
      </c>
      <c r="X41" s="19">
        <f t="shared" si="14"/>
        <v>1.975</v>
      </c>
      <c r="Y41" s="19">
        <f>SUMIFS(劳育素质!K:K,劳育素质!B:B,B41,劳育素质!D:D,"=实习实训")</f>
        <v>0</v>
      </c>
      <c r="Z41" s="19">
        <f t="shared" si="15"/>
        <v>3.5282</v>
      </c>
      <c r="AA41" s="19">
        <f>SUMIFS(创新与实践素质!L:L,创新与实践素质!B:B,B41,创新与实践素质!D:D,"=创新创业素质")</f>
        <v>0</v>
      </c>
      <c r="AB41" s="19">
        <f>SUMIFS(创新与实践素质!L:L,创新与实践素质!B:B,B41,创新与实践素质!D:D,"=水平考试")</f>
        <v>0</v>
      </c>
      <c r="AC41" s="19">
        <f>SUMIFS(创新与实践素质!L:L,创新与实践素质!B:B,B41,创新与实践素质!D:D,"=社会实践")</f>
        <v>0</v>
      </c>
      <c r="AD41" s="19">
        <f>_xlfn.MAXIFS(创新与实践素质!L:L,创新与实践素质!B:B,B41,创新与实践素质!D:D,"=社会工作能力（工作表现）",创新与实践素质!G:G,"=上学期")+_xlfn.MAXIFS(创新与实践素质!L:L,创新与实践素质!B:B,B41,创新与实践素质!D:D,"=社会工作能力（工作表现）",创新与实践素质!G:G,"=下学期")</f>
        <v>1.4</v>
      </c>
      <c r="AE41" s="19">
        <f t="shared" si="16"/>
        <v>1.4</v>
      </c>
      <c r="AF41" s="19">
        <f t="shared" si="17"/>
        <v>66.2652</v>
      </c>
    </row>
    <row r="42" spans="1:32">
      <c r="A42" s="18" t="s">
        <v>6</v>
      </c>
      <c r="B42" s="18" t="s">
        <v>42</v>
      </c>
      <c r="C42" s="18"/>
      <c r="D42" s="19">
        <f>SUMIFS(德育素质!H:H,德育素质!B:B,B42,德育素质!D:D,"=基本评定分")</f>
        <v>5.28</v>
      </c>
      <c r="E42" s="19">
        <f>MIN(2,SUMIFS(德育素质!H:H,德育素质!A:A,A42,德育素质!D:D,"=集体评定等级分",德育素质!E:E,"=班级考评等级")+SUMIFS(德育素质!H:H,德育素质!B:B,B42,德育素质!D:D,"=集体评定等级分"))</f>
        <v>0</v>
      </c>
      <c r="F42" s="19">
        <f>MIN(2,SUMIFS(德育素质!H:H,德育素质!B:B,B42,德育素质!D:D,"=社会责任记实分"))</f>
        <v>0</v>
      </c>
      <c r="G42" s="19">
        <f>SUMIFS(德育素质!H:H,德育素质!B:B,B42,德育素质!D:D,"=违纪违规扣分")</f>
        <v>0</v>
      </c>
      <c r="H42" s="19">
        <f>SUMIFS(德育素质!H:H,德育素质!B:B,B42,德育素质!D:D,"=荣誉称号加分")</f>
        <v>0</v>
      </c>
      <c r="I42" s="19">
        <f t="shared" si="9"/>
        <v>0</v>
      </c>
      <c r="J42" s="19">
        <f t="shared" si="10"/>
        <v>5.28</v>
      </c>
      <c r="K42" s="19">
        <f>(VLOOKUP(B42,智育素质!B:D,3,0)*10+50)*0.6</f>
        <v>48.822</v>
      </c>
      <c r="L42" s="19">
        <f>SUMIFS(体育素质!J:J,体育素质!B:B,B42,体育素质!D:D,"=体育课程成绩",体育素质!E:E,"=体育成绩")/40</f>
        <v>3.44</v>
      </c>
      <c r="M42" s="19">
        <f>SUMIFS(体育素质!L:L,体育素质!B:B,B42,体育素质!D:D,"=校内外体育竞赛")</f>
        <v>0</v>
      </c>
      <c r="N42" s="19">
        <f>SUMIFS(体育素质!L:L,体育素质!B:B,B42,体育素质!D:D,"=校内外体育活动",体育素质!E:E,"=早锻炼")</f>
        <v>0</v>
      </c>
      <c r="O42" s="19">
        <f>SUMIFS(体育素质!L:L,体育素质!B:B,B42,体育素质!D:D,"=校内外体育活动",体育素质!E:E,"=校园跑")</f>
        <v>0.6875</v>
      </c>
      <c r="P42" s="19">
        <f t="shared" si="11"/>
        <v>0.6875</v>
      </c>
      <c r="Q42" s="19">
        <f t="shared" si="12"/>
        <v>4.1275</v>
      </c>
      <c r="R42" s="19">
        <f>MIN(0.5,SUMIFS(美育素质!L:L,美育素质!B:B,B42,美育素质!D:D,"=文化艺术实践"))</f>
        <v>0</v>
      </c>
      <c r="S42" s="19">
        <f>SUMIFS(美育素质!L:L,美育素质!B:B,B42,美育素质!D:D,"=校内外文化艺术竞赛")</f>
        <v>0</v>
      </c>
      <c r="T42" s="19">
        <f t="shared" si="13"/>
        <v>0</v>
      </c>
      <c r="U42" s="19">
        <f>MAX(0,SUMIFS(劳育素质!K:K,劳育素质!B:B,B42,劳育素质!D:D,"=劳动日常考核基础分")+SUMIFS(劳育素质!K:K,劳育素质!B:B,B42,劳育素质!D:D,"=活动与卫生加减分"))</f>
        <v>1.5292</v>
      </c>
      <c r="V42" s="19">
        <f>SUMIFS(劳育素质!K:K,劳育素质!B:B,B42,劳育素质!D:D,"=志愿服务",劳育素质!F:F,"=A类+B类")</f>
        <v>0</v>
      </c>
      <c r="W42" s="19">
        <f>SUMIFS(劳育素质!K:K,劳育素质!B:B,B42,劳育素质!D:D,"=志愿服务",劳育素质!F:F,"=C类")</f>
        <v>0</v>
      </c>
      <c r="X42" s="19">
        <f t="shared" si="14"/>
        <v>0</v>
      </c>
      <c r="Y42" s="19">
        <f>SUMIFS(劳育素质!K:K,劳育素质!B:B,B42,劳育素质!D:D,"=实习实训")</f>
        <v>0</v>
      </c>
      <c r="Z42" s="19">
        <f t="shared" si="15"/>
        <v>1.5292</v>
      </c>
      <c r="AA42" s="19">
        <f>SUMIFS(创新与实践素质!L:L,创新与实践素质!B:B,B42,创新与实践素质!D:D,"=创新创业素质")</f>
        <v>0</v>
      </c>
      <c r="AB42" s="19">
        <f>SUMIFS(创新与实践素质!L:L,创新与实践素质!B:B,B42,创新与实践素质!D:D,"=水平考试")</f>
        <v>0</v>
      </c>
      <c r="AC42" s="19">
        <f>SUMIFS(创新与实践素质!L:L,创新与实践素质!B:B,B42,创新与实践素质!D:D,"=社会实践")</f>
        <v>0</v>
      </c>
      <c r="AD42" s="19">
        <f>_xlfn.MAXIFS(创新与实践素质!L:L,创新与实践素质!B:B,B42,创新与实践素质!D:D,"=社会工作能力（工作表现）",创新与实践素质!G:G,"=上学期")+_xlfn.MAXIFS(创新与实践素质!L:L,创新与实践素质!B:B,B42,创新与实践素质!D:D,"=社会工作能力（工作表现）",创新与实践素质!G:G,"=下学期")</f>
        <v>0</v>
      </c>
      <c r="AE42" s="19">
        <f t="shared" si="16"/>
        <v>0</v>
      </c>
      <c r="AF42" s="19">
        <f t="shared" si="17"/>
        <v>59.7587</v>
      </c>
    </row>
    <row r="43" spans="1:32">
      <c r="A43" s="18" t="s">
        <v>6</v>
      </c>
      <c r="B43" s="18" t="s">
        <v>56</v>
      </c>
      <c r="C43" s="18"/>
      <c r="D43" s="19">
        <f>SUMIFS(德育素质!H:H,德育素质!B:B,B43,德育素质!D:D,"=基本评定分")</f>
        <v>6</v>
      </c>
      <c r="E43" s="19">
        <f>MIN(2,SUMIFS(德育素质!H:H,德育素质!A:A,A43,德育素质!D:D,"=集体评定等级分",德育素质!E:E,"=班级考评等级")+SUMIFS(德育素质!H:H,德育素质!B:B,B43,德育素质!D:D,"=集体评定等级分"))</f>
        <v>0</v>
      </c>
      <c r="F43" s="19">
        <f>MIN(2,SUMIFS(德育素质!H:H,德育素质!B:B,B43,德育素质!D:D,"=社会责任记实分"))</f>
        <v>0</v>
      </c>
      <c r="G43" s="19">
        <f>SUMIFS(德育素质!H:H,德育素质!B:B,B43,德育素质!D:D,"=违纪违规扣分")</f>
        <v>0</v>
      </c>
      <c r="H43" s="19">
        <f>SUMIFS(德育素质!H:H,德育素质!B:B,B43,德育素质!D:D,"=荣誉称号加分")</f>
        <v>0</v>
      </c>
      <c r="I43" s="19">
        <f t="shared" si="9"/>
        <v>0</v>
      </c>
      <c r="J43" s="19">
        <f t="shared" si="10"/>
        <v>6</v>
      </c>
      <c r="K43" s="19">
        <f>(VLOOKUP(B43,智育素质!B:D,3,0)*10+50)*0.6</f>
        <v>49.098</v>
      </c>
      <c r="L43" s="19">
        <f>SUMIFS(体育素质!J:J,体育素质!B:B,B43,体育素质!D:D,"=体育课程成绩",体育素质!E:E,"=体育成绩")/40</f>
        <v>4.325</v>
      </c>
      <c r="M43" s="19">
        <f>SUMIFS(体育素质!L:L,体育素质!B:B,B43,体育素质!D:D,"=校内外体育竞赛")</f>
        <v>0</v>
      </c>
      <c r="N43" s="19">
        <f>SUMIFS(体育素质!L:L,体育素质!B:B,B43,体育素质!D:D,"=校内外体育活动",体育素质!E:E,"=早锻炼")</f>
        <v>0</v>
      </c>
      <c r="O43" s="19">
        <f>SUMIFS(体育素质!L:L,体育素质!B:B,B43,体育素质!D:D,"=校内外体育活动",体育素质!E:E,"=校园跑")</f>
        <v>0</v>
      </c>
      <c r="P43" s="19">
        <f t="shared" si="11"/>
        <v>0</v>
      </c>
      <c r="Q43" s="19">
        <f t="shared" si="12"/>
        <v>4.325</v>
      </c>
      <c r="R43" s="19">
        <f>MIN(0.5,SUMIFS(美育素质!L:L,美育素质!B:B,B43,美育素质!D:D,"=文化艺术实践"))</f>
        <v>0</v>
      </c>
      <c r="S43" s="19">
        <f>SUMIFS(美育素质!L:L,美育素质!B:B,B43,美育素质!D:D,"=校内外文化艺术竞赛")</f>
        <v>0</v>
      </c>
      <c r="T43" s="19">
        <f t="shared" si="13"/>
        <v>0</v>
      </c>
      <c r="U43" s="19">
        <f>MAX(0,SUMIFS(劳育素质!K:K,劳育素质!B:B,B43,劳育素质!D:D,"=劳动日常考核基础分")+SUMIFS(劳育素质!K:K,劳育素质!B:B,B43,劳育素质!D:D,"=活动与卫生加减分"))</f>
        <v>1.389</v>
      </c>
      <c r="V43" s="19">
        <f>SUMIFS(劳育素质!K:K,劳育素质!B:B,B43,劳育素质!D:D,"=志愿服务",劳育素质!F:F,"=A类+B类")</f>
        <v>0</v>
      </c>
      <c r="W43" s="19">
        <f>SUMIFS(劳育素质!K:K,劳育素质!B:B,B43,劳育素质!D:D,"=志愿服务",劳育素质!F:F,"=C类")</f>
        <v>0</v>
      </c>
      <c r="X43" s="19">
        <f t="shared" si="14"/>
        <v>0</v>
      </c>
      <c r="Y43" s="19">
        <f>SUMIFS(劳育素质!K:K,劳育素质!B:B,B43,劳育素质!D:D,"=实习实训")</f>
        <v>0</v>
      </c>
      <c r="Z43" s="19">
        <f t="shared" si="15"/>
        <v>1.389</v>
      </c>
      <c r="AA43" s="19">
        <f>SUMIFS(创新与实践素质!L:L,创新与实践素质!B:B,B43,创新与实践素质!D:D,"=创新创业素质")</f>
        <v>0</v>
      </c>
      <c r="AB43" s="19">
        <f>SUMIFS(创新与实践素质!L:L,创新与实践素质!B:B,B43,创新与实践素质!D:D,"=水平考试")</f>
        <v>0</v>
      </c>
      <c r="AC43" s="19">
        <f>SUMIFS(创新与实践素质!L:L,创新与实践素质!B:B,B43,创新与实践素质!D:D,"=社会实践")</f>
        <v>0</v>
      </c>
      <c r="AD43" s="19">
        <f>_xlfn.MAXIFS(创新与实践素质!L:L,创新与实践素质!B:B,B43,创新与实践素质!D:D,"=社会工作能力（工作表现）",创新与实践素质!G:G,"=上学期")+_xlfn.MAXIFS(创新与实践素质!L:L,创新与实践素质!B:B,B43,创新与实践素质!D:D,"=社会工作能力（工作表现）",创新与实践素质!G:G,"=下学期")</f>
        <v>0.8</v>
      </c>
      <c r="AE43" s="19">
        <f t="shared" si="16"/>
        <v>0.8</v>
      </c>
      <c r="AF43" s="19">
        <f t="shared" si="17"/>
        <v>61.612</v>
      </c>
    </row>
    <row r="44" spans="1:32">
      <c r="A44" s="18" t="s">
        <v>6</v>
      </c>
      <c r="B44" s="18" t="s">
        <v>8</v>
      </c>
      <c r="C44" s="18"/>
      <c r="D44" s="19">
        <f>SUMIFS(德育素质!H:H,德育素质!B:B,B44,德育素质!D:D,"=基本评定分")</f>
        <v>5.28</v>
      </c>
      <c r="E44" s="19">
        <f>MIN(2,SUMIFS(德育素质!H:H,德育素质!A:A,A44,德育素质!D:D,"=集体评定等级分",德育素质!E:E,"=班级考评等级")+SUMIFS(德育素质!H:H,德育素质!B:B,B44,德育素质!D:D,"=集体评定等级分"))</f>
        <v>0</v>
      </c>
      <c r="F44" s="19">
        <f>MIN(2,SUMIFS(德育素质!H:H,德育素质!B:B,B44,德育素质!D:D,"=社会责任记实分"))</f>
        <v>0</v>
      </c>
      <c r="G44" s="19">
        <f>SUMIFS(德育素质!H:H,德育素质!B:B,B44,德育素质!D:D,"=违纪违规扣分")</f>
        <v>0</v>
      </c>
      <c r="H44" s="19">
        <f>SUMIFS(德育素质!H:H,德育素质!B:B,B44,德育素质!D:D,"=荣誉称号加分")</f>
        <v>0</v>
      </c>
      <c r="I44" s="19">
        <f t="shared" si="9"/>
        <v>0</v>
      </c>
      <c r="J44" s="19">
        <f t="shared" si="10"/>
        <v>5.28</v>
      </c>
      <c r="K44" s="19">
        <f>(VLOOKUP(B44,智育素质!B:D,3,0)*10+50)*0.6</f>
        <v>42.696</v>
      </c>
      <c r="L44" s="19">
        <f>SUMIFS(体育素质!J:J,体育素质!B:B,B44,体育素质!D:D,"=体育课程成绩",体育素质!E:E,"=体育成绩")/40</f>
        <v>3.66</v>
      </c>
      <c r="M44" s="19">
        <f>SUMIFS(体育素质!L:L,体育素质!B:B,B44,体育素质!D:D,"=校内外体育竞赛")</f>
        <v>0</v>
      </c>
      <c r="N44" s="19">
        <f>SUMIFS(体育素质!L:L,体育素质!B:B,B44,体育素质!D:D,"=校内外体育活动",体育素质!E:E,"=早锻炼")</f>
        <v>0</v>
      </c>
      <c r="O44" s="19">
        <f>SUMIFS(体育素质!L:L,体育素质!B:B,B44,体育素质!D:D,"=校内外体育活动",体育素质!E:E,"=校园跑")</f>
        <v>0.7418125</v>
      </c>
      <c r="P44" s="19">
        <f t="shared" si="11"/>
        <v>0.7418125</v>
      </c>
      <c r="Q44" s="19">
        <f t="shared" si="12"/>
        <v>4.4018125</v>
      </c>
      <c r="R44" s="19">
        <f>MIN(0.5,SUMIFS(美育素质!L:L,美育素质!B:B,B44,美育素质!D:D,"=文化艺术实践"))</f>
        <v>0</v>
      </c>
      <c r="S44" s="19">
        <f>SUMIFS(美育素质!L:L,美育素质!B:B,B44,美育素质!D:D,"=校内外文化艺术竞赛")</f>
        <v>0</v>
      </c>
      <c r="T44" s="19">
        <f t="shared" si="13"/>
        <v>0</v>
      </c>
      <c r="U44" s="19">
        <f>MAX(0,SUMIFS(劳育素质!K:K,劳育素质!B:B,B44,劳育素质!D:D,"=劳动日常考核基础分")+SUMIFS(劳育素质!K:K,劳育素质!B:B,B44,劳育素质!D:D,"=活动与卫生加减分"))</f>
        <v>0</v>
      </c>
      <c r="V44" s="19">
        <f>SUMIFS(劳育素质!K:K,劳育素质!B:B,B44,劳育素质!D:D,"=志愿服务",劳育素质!F:F,"=A类+B类")</f>
        <v>0</v>
      </c>
      <c r="W44" s="19">
        <f>SUMIFS(劳育素质!K:K,劳育素质!B:B,B44,劳育素质!D:D,"=志愿服务",劳育素质!F:F,"=C类")</f>
        <v>0</v>
      </c>
      <c r="X44" s="19">
        <f t="shared" si="14"/>
        <v>0</v>
      </c>
      <c r="Y44" s="19">
        <f>SUMIFS(劳育素质!K:K,劳育素质!B:B,B44,劳育素质!D:D,"=实习实训")</f>
        <v>0</v>
      </c>
      <c r="Z44" s="19">
        <f t="shared" si="15"/>
        <v>0</v>
      </c>
      <c r="AA44" s="19">
        <f>SUMIFS(创新与实践素质!L:L,创新与实践素质!B:B,B44,创新与实践素质!D:D,"=创新创业素质")</f>
        <v>0</v>
      </c>
      <c r="AB44" s="19">
        <f>SUMIFS(创新与实践素质!L:L,创新与实践素质!B:B,B44,创新与实践素质!D:D,"=水平考试")</f>
        <v>0</v>
      </c>
      <c r="AC44" s="19">
        <f>SUMIFS(创新与实践素质!L:L,创新与实践素质!B:B,B44,创新与实践素质!D:D,"=社会实践")</f>
        <v>0</v>
      </c>
      <c r="AD44" s="19">
        <f>_xlfn.MAXIFS(创新与实践素质!L:L,创新与实践素质!B:B,B44,创新与实践素质!D:D,"=社会工作能力（工作表现）",创新与实践素质!G:G,"=上学期")+_xlfn.MAXIFS(创新与实践素质!L:L,创新与实践素质!B:B,B44,创新与实践素质!D:D,"=社会工作能力（工作表现）",创新与实践素质!G:G,"=下学期")</f>
        <v>0</v>
      </c>
      <c r="AE44" s="19">
        <f t="shared" si="16"/>
        <v>0</v>
      </c>
      <c r="AF44" s="19">
        <f t="shared" si="17"/>
        <v>52.3778125</v>
      </c>
    </row>
    <row r="45" spans="1:32">
      <c r="A45" s="18" t="s">
        <v>6</v>
      </c>
      <c r="B45" s="18" t="s">
        <v>43</v>
      </c>
      <c r="C45" s="18"/>
      <c r="D45" s="19">
        <f>SUMIFS(德育素质!H:H,德育素质!B:B,B45,德育素质!D:D,"=基本评定分")</f>
        <v>5.28</v>
      </c>
      <c r="E45" s="19">
        <f>MIN(2,SUMIFS(德育素质!H:H,德育素质!A:A,A45,德育素质!D:D,"=集体评定等级分",德育素质!E:E,"=班级考评等级")+SUMIFS(德育素质!H:H,德育素质!B:B,B45,德育素质!D:D,"=集体评定等级分"))</f>
        <v>0</v>
      </c>
      <c r="F45" s="19">
        <f>MIN(2,SUMIFS(德育素质!H:H,德育素质!B:B,B45,德育素质!D:D,"=社会责任记实分"))</f>
        <v>0</v>
      </c>
      <c r="G45" s="19">
        <f>SUMIFS(德育素质!H:H,德育素质!B:B,B45,德育素质!D:D,"=违纪违规扣分")</f>
        <v>0</v>
      </c>
      <c r="H45" s="19">
        <f>SUMIFS(德育素质!H:H,德育素质!B:B,B45,德育素质!D:D,"=荣誉称号加分")</f>
        <v>0</v>
      </c>
      <c r="I45" s="19">
        <f t="shared" si="9"/>
        <v>0</v>
      </c>
      <c r="J45" s="19">
        <f t="shared" si="10"/>
        <v>5.28</v>
      </c>
      <c r="K45" s="19">
        <f>(VLOOKUP(B45,智育素质!B:D,3,0)*10+50)*0.6</f>
        <v>50.886</v>
      </c>
      <c r="L45" s="19">
        <f>SUMIFS(体育素质!J:J,体育素质!B:B,B45,体育素质!D:D,"=体育课程成绩",体育素质!E:E,"=体育成绩")/40</f>
        <v>4.145</v>
      </c>
      <c r="M45" s="19">
        <f>SUMIFS(体育素质!L:L,体育素质!B:B,B45,体育素质!D:D,"=校内外体育竞赛")</f>
        <v>0</v>
      </c>
      <c r="N45" s="19">
        <f>SUMIFS(体育素质!L:L,体育素质!B:B,B45,体育素质!D:D,"=校内外体育活动",体育素质!E:E,"=早锻炼")</f>
        <v>0</v>
      </c>
      <c r="O45" s="19">
        <f>SUMIFS(体育素质!L:L,体育素质!B:B,B45,体育素质!D:D,"=校内外体育活动",体育素质!E:E,"=校园跑")</f>
        <v>1</v>
      </c>
      <c r="P45" s="19">
        <f t="shared" si="11"/>
        <v>1</v>
      </c>
      <c r="Q45" s="19">
        <f t="shared" si="12"/>
        <v>5.145</v>
      </c>
      <c r="R45" s="19">
        <f>MIN(0.5,SUMIFS(美育素质!L:L,美育素质!B:B,B45,美育素质!D:D,"=文化艺术实践"))</f>
        <v>0</v>
      </c>
      <c r="S45" s="19">
        <f>SUMIFS(美育素质!L:L,美育素质!B:B,B45,美育素质!D:D,"=校内外文化艺术竞赛")</f>
        <v>0</v>
      </c>
      <c r="T45" s="19">
        <f t="shared" si="13"/>
        <v>0</v>
      </c>
      <c r="U45" s="19">
        <f>MAX(0,SUMIFS(劳育素质!K:K,劳育素质!B:B,B45,劳育素质!D:D,"=劳动日常考核基础分")+SUMIFS(劳育素质!K:K,劳育素质!B:B,B45,劳育素质!D:D,"=活动与卫生加减分"))</f>
        <v>1.4416</v>
      </c>
      <c r="V45" s="19">
        <f>SUMIFS(劳育素质!K:K,劳育素质!B:B,B45,劳育素质!D:D,"=志愿服务",劳育素质!F:F,"=A类+B类")</f>
        <v>0</v>
      </c>
      <c r="W45" s="19">
        <f>SUMIFS(劳育素质!K:K,劳育素质!B:B,B45,劳育素质!D:D,"=志愿服务",劳育素质!F:F,"=C类")</f>
        <v>0</v>
      </c>
      <c r="X45" s="19">
        <f t="shared" si="14"/>
        <v>0</v>
      </c>
      <c r="Y45" s="19">
        <f>SUMIFS(劳育素质!K:K,劳育素质!B:B,B45,劳育素质!D:D,"=实习实训")</f>
        <v>0</v>
      </c>
      <c r="Z45" s="19">
        <f t="shared" si="15"/>
        <v>1.4416</v>
      </c>
      <c r="AA45" s="19">
        <f>SUMIFS(创新与实践素质!L:L,创新与实践素质!B:B,B45,创新与实践素质!D:D,"=创新创业素质")</f>
        <v>0</v>
      </c>
      <c r="AB45" s="19">
        <f>SUMIFS(创新与实践素质!L:L,创新与实践素质!B:B,B45,创新与实践素质!D:D,"=水平考试")</f>
        <v>0.5</v>
      </c>
      <c r="AC45" s="19">
        <f>SUMIFS(创新与实践素质!L:L,创新与实践素质!B:B,B45,创新与实践素质!D:D,"=社会实践")</f>
        <v>0</v>
      </c>
      <c r="AD45" s="19">
        <f>_xlfn.MAXIFS(创新与实践素质!L:L,创新与实践素质!B:B,B45,创新与实践素质!D:D,"=社会工作能力（工作表现）",创新与实践素质!G:G,"=上学期")+_xlfn.MAXIFS(创新与实践素质!L:L,创新与实践素质!B:B,B45,创新与实践素质!D:D,"=社会工作能力（工作表现）",创新与实践素质!G:G,"=下学期")</f>
        <v>0</v>
      </c>
      <c r="AE45" s="19">
        <f t="shared" si="16"/>
        <v>0.5</v>
      </c>
      <c r="AF45" s="19">
        <f t="shared" si="17"/>
        <v>63.2526</v>
      </c>
    </row>
    <row r="46" spans="1:32">
      <c r="A46" s="18" t="s">
        <v>6</v>
      </c>
      <c r="B46" s="18" t="s">
        <v>47</v>
      </c>
      <c r="C46" s="18"/>
      <c r="D46" s="19">
        <f>SUMIFS(德育素质!H:H,德育素质!B:B,B46,德育素质!D:D,"=基本评定分")</f>
        <v>6</v>
      </c>
      <c r="E46" s="19">
        <f>MIN(2,SUMIFS(德育素质!H:H,德育素质!A:A,A46,德育素质!D:D,"=集体评定等级分",德育素质!E:E,"=班级考评等级")+SUMIFS(德育素质!H:H,德育素质!B:B,B46,德育素质!D:D,"=集体评定等级分"))</f>
        <v>0</v>
      </c>
      <c r="F46" s="19">
        <f>MIN(2,SUMIFS(德育素质!H:H,德育素质!B:B,B46,德育素质!D:D,"=社会责任记实分"))</f>
        <v>0.1</v>
      </c>
      <c r="G46" s="19">
        <f>SUMIFS(德育素质!H:H,德育素质!B:B,B46,德育素质!D:D,"=违纪违规扣分")</f>
        <v>0</v>
      </c>
      <c r="H46" s="19">
        <f>SUMIFS(德育素质!H:H,德育素质!B:B,B46,德育素质!D:D,"=荣誉称号加分")</f>
        <v>0.25</v>
      </c>
      <c r="I46" s="19">
        <f t="shared" si="9"/>
        <v>0.35</v>
      </c>
      <c r="J46" s="19">
        <f t="shared" si="10"/>
        <v>6.35</v>
      </c>
      <c r="K46" s="19">
        <f>(VLOOKUP(B46,智育素质!B:D,3,0)*10+50)*0.6</f>
        <v>49.278</v>
      </c>
      <c r="L46" s="19">
        <f>SUMIFS(体育素质!J:J,体育素质!B:B,B46,体育素质!D:D,"=体育课程成绩",体育素质!E:E,"=体育成绩")/40</f>
        <v>4.13</v>
      </c>
      <c r="M46" s="19">
        <f>SUMIFS(体育素质!L:L,体育素质!B:B,B46,体育素质!D:D,"=校内外体育竞赛")</f>
        <v>0</v>
      </c>
      <c r="N46" s="19">
        <f>SUMIFS(体育素质!L:L,体育素质!B:B,B46,体育素质!D:D,"=校内外体育活动",体育素质!E:E,"=早锻炼")</f>
        <v>0</v>
      </c>
      <c r="O46" s="19">
        <f>SUMIFS(体育素质!L:L,体育素质!B:B,B46,体育素质!D:D,"=校内外体育活动",体育素质!E:E,"=校园跑")</f>
        <v>1</v>
      </c>
      <c r="P46" s="19">
        <f t="shared" si="11"/>
        <v>1</v>
      </c>
      <c r="Q46" s="19">
        <f t="shared" si="12"/>
        <v>5.13</v>
      </c>
      <c r="R46" s="19">
        <f>MIN(0.5,SUMIFS(美育素质!L:L,美育素质!B:B,B46,美育素质!D:D,"=文化艺术实践"))</f>
        <v>0</v>
      </c>
      <c r="S46" s="19">
        <f>SUMIFS(美育素质!L:L,美育素质!B:B,B46,美育素质!D:D,"=校内外文化艺术竞赛")</f>
        <v>0</v>
      </c>
      <c r="T46" s="19">
        <f t="shared" si="13"/>
        <v>0</v>
      </c>
      <c r="U46" s="19">
        <f>MAX(0,SUMIFS(劳育素质!K:K,劳育素质!B:B,B46,劳育素质!D:D,"=劳动日常考核基础分")+SUMIFS(劳育素质!K:K,劳育素质!B:B,B46,劳育素质!D:D,"=活动与卫生加减分"))</f>
        <v>1.5532</v>
      </c>
      <c r="V46" s="19">
        <f>SUMIFS(劳育素质!K:K,劳育素质!B:B,B46,劳育素质!D:D,"=志愿服务",劳育素质!F:F,"=A类+B类")</f>
        <v>3</v>
      </c>
      <c r="W46" s="19">
        <f>SUMIFS(劳育素质!K:K,劳育素质!B:B,B46,劳育素质!D:D,"=志愿服务",劳育素质!F:F,"=C类")</f>
        <v>0</v>
      </c>
      <c r="X46" s="19">
        <f t="shared" si="14"/>
        <v>3</v>
      </c>
      <c r="Y46" s="19">
        <f>SUMIFS(劳育素质!K:K,劳育素质!B:B,B46,劳育素质!D:D,"=实习实训")</f>
        <v>0</v>
      </c>
      <c r="Z46" s="19">
        <f t="shared" si="15"/>
        <v>4.5532</v>
      </c>
      <c r="AA46" s="19">
        <f>SUMIFS(创新与实践素质!L:L,创新与实践素质!B:B,B46,创新与实践素质!D:D,"=创新创业素质")</f>
        <v>0</v>
      </c>
      <c r="AB46" s="19">
        <f>SUMIFS(创新与实践素质!L:L,创新与实践素质!B:B,B46,创新与实践素质!D:D,"=水平考试")</f>
        <v>0</v>
      </c>
      <c r="AC46" s="19">
        <f>SUMIFS(创新与实践素质!L:L,创新与实践素质!B:B,B46,创新与实践素质!D:D,"=社会实践")</f>
        <v>0</v>
      </c>
      <c r="AD46" s="19">
        <f>_xlfn.MAXIFS(创新与实践素质!L:L,创新与实践素质!B:B,B46,创新与实践素质!D:D,"=社会工作能力（工作表现）",创新与实践素质!G:G,"=上学期")+_xlfn.MAXIFS(创新与实践素质!L:L,创新与实践素质!B:B,B46,创新与实践素质!D:D,"=社会工作能力（工作表现）",创新与实践素质!G:G,"=下学期")</f>
        <v>1</v>
      </c>
      <c r="AE46" s="19">
        <f t="shared" si="16"/>
        <v>1</v>
      </c>
      <c r="AF46" s="19">
        <f t="shared" si="17"/>
        <v>66.3112</v>
      </c>
    </row>
    <row r="47" spans="1:32">
      <c r="A47" s="18" t="s">
        <v>6</v>
      </c>
      <c r="B47" s="18" t="s">
        <v>11</v>
      </c>
      <c r="C47" s="18"/>
      <c r="D47" s="19">
        <f>SUMIFS(德育素质!H:H,德育素质!B:B,B47,德育素质!D:D,"=基本评定分")</f>
        <v>5.28</v>
      </c>
      <c r="E47" s="19">
        <f>MIN(2,SUMIFS(德育素质!H:H,德育素质!A:A,A47,德育素质!D:D,"=集体评定等级分",德育素质!E:E,"=班级考评等级")+SUMIFS(德育素质!H:H,德育素质!B:B,B47,德育素质!D:D,"=集体评定等级分"))</f>
        <v>0</v>
      </c>
      <c r="F47" s="19">
        <f>MIN(2,SUMIFS(德育素质!H:H,德育素质!B:B,B47,德育素质!D:D,"=社会责任记实分"))</f>
        <v>0</v>
      </c>
      <c r="G47" s="19">
        <f>SUMIFS(德育素质!H:H,德育素质!B:B,B47,德育素质!D:D,"=违纪违规扣分")</f>
        <v>0</v>
      </c>
      <c r="H47" s="19">
        <f>SUMIFS(德育素质!H:H,德育素质!B:B,B47,德育素质!D:D,"=荣誉称号加分")</f>
        <v>0</v>
      </c>
      <c r="I47" s="19">
        <f t="shared" si="9"/>
        <v>0</v>
      </c>
      <c r="J47" s="19">
        <f t="shared" si="10"/>
        <v>5.28</v>
      </c>
      <c r="K47" s="19">
        <f>(VLOOKUP(B47,智育素质!B:D,3,0)*10+50)*0.6</f>
        <v>34.14</v>
      </c>
      <c r="L47" s="19">
        <f>SUMIFS(体育素质!J:J,体育素质!B:B,B47,体育素质!D:D,"=体育课程成绩",体育素质!E:E,"=体育成绩")/40</f>
        <v>0</v>
      </c>
      <c r="M47" s="19">
        <f>SUMIFS(体育素质!L:L,体育素质!B:B,B47,体育素质!D:D,"=校内外体育竞赛")</f>
        <v>0.125</v>
      </c>
      <c r="N47" s="19">
        <f>SUMIFS(体育素质!L:L,体育素质!B:B,B47,体育素质!D:D,"=校内外体育活动",体育素质!E:E,"=早锻炼")</f>
        <v>0</v>
      </c>
      <c r="O47" s="19">
        <f>SUMIFS(体育素质!L:L,体育素质!B:B,B47,体育素质!D:D,"=校内外体育活动",体育素质!E:E,"=校园跑")</f>
        <v>0</v>
      </c>
      <c r="P47" s="19">
        <f t="shared" si="11"/>
        <v>0.125</v>
      </c>
      <c r="Q47" s="19">
        <f t="shared" si="12"/>
        <v>0.125</v>
      </c>
      <c r="R47" s="19">
        <f>MIN(0.5,SUMIFS(美育素质!L:L,美育素质!B:B,B47,美育素质!D:D,"=文化艺术实践"))</f>
        <v>0</v>
      </c>
      <c r="S47" s="19">
        <f>SUMIFS(美育素质!L:L,美育素质!B:B,B47,美育素质!D:D,"=校内外文化艺术竞赛")</f>
        <v>0</v>
      </c>
      <c r="T47" s="19">
        <f t="shared" si="13"/>
        <v>0</v>
      </c>
      <c r="U47" s="19">
        <f>MAX(0,SUMIFS(劳育素质!K:K,劳育素质!B:B,B47,劳育素质!D:D,"=劳动日常考核基础分")+SUMIFS(劳育素质!K:K,劳育素质!B:B,B47,劳育素质!D:D,"=活动与卫生加减分"))</f>
        <v>1.43809523809524</v>
      </c>
      <c r="V47" s="19">
        <f>SUMIFS(劳育素质!K:K,劳育素质!B:B,B47,劳育素质!D:D,"=志愿服务",劳育素质!F:F,"=A类+B类")</f>
        <v>0</v>
      </c>
      <c r="W47" s="19">
        <f>SUMIFS(劳育素质!K:K,劳育素质!B:B,B47,劳育素质!D:D,"=志愿服务",劳育素质!F:F,"=C类")</f>
        <v>0</v>
      </c>
      <c r="X47" s="19">
        <f t="shared" si="14"/>
        <v>0</v>
      </c>
      <c r="Y47" s="19">
        <f>SUMIFS(劳育素质!K:K,劳育素质!B:B,B47,劳育素质!D:D,"=实习实训")</f>
        <v>0</v>
      </c>
      <c r="Z47" s="19">
        <f t="shared" si="15"/>
        <v>1.43809523809524</v>
      </c>
      <c r="AA47" s="19">
        <f>SUMIFS(创新与实践素质!L:L,创新与实践素质!B:B,B47,创新与实践素质!D:D,"=创新创业素质")</f>
        <v>0</v>
      </c>
      <c r="AB47" s="19">
        <f>SUMIFS(创新与实践素质!L:L,创新与实践素质!B:B,B47,创新与实践素质!D:D,"=水平考试")</f>
        <v>0</v>
      </c>
      <c r="AC47" s="19">
        <f>SUMIFS(创新与实践素质!L:L,创新与实践素质!B:B,B47,创新与实践素质!D:D,"=社会实践")</f>
        <v>0</v>
      </c>
      <c r="AD47" s="19">
        <f>_xlfn.MAXIFS(创新与实践素质!L:L,创新与实践素质!B:B,B47,创新与实践素质!D:D,"=社会工作能力（工作表现）",创新与实践素质!G:G,"=上学期")+_xlfn.MAXIFS(创新与实践素质!L:L,创新与实践素质!B:B,B47,创新与实践素质!D:D,"=社会工作能力（工作表现）",创新与实践素质!G:G,"=下学期")</f>
        <v>0</v>
      </c>
      <c r="AE47" s="19">
        <f t="shared" si="16"/>
        <v>0</v>
      </c>
      <c r="AF47" s="19">
        <f t="shared" si="17"/>
        <v>40.9830952380952</v>
      </c>
    </row>
    <row r="48" spans="1:32">
      <c r="A48" s="18" t="s">
        <v>6</v>
      </c>
      <c r="B48" s="18" t="s">
        <v>57</v>
      </c>
      <c r="C48" s="18"/>
      <c r="D48" s="19">
        <f>SUMIFS(德育素质!H:H,德育素质!B:B,B48,德育素质!D:D,"=基本评定分")</f>
        <v>5.28</v>
      </c>
      <c r="E48" s="19">
        <f>MIN(2,SUMIFS(德育素质!H:H,德育素质!A:A,A48,德育素质!D:D,"=集体评定等级分",德育素质!E:E,"=班级考评等级")+SUMIFS(德育素质!H:H,德育素质!B:B,B48,德育素质!D:D,"=集体评定等级分"))</f>
        <v>0</v>
      </c>
      <c r="F48" s="19">
        <f>MIN(2,SUMIFS(德育素质!H:H,德育素质!B:B,B48,德育素质!D:D,"=社会责任记实分"))</f>
        <v>0</v>
      </c>
      <c r="G48" s="19">
        <f>SUMIFS(德育素质!H:H,德育素质!B:B,B48,德育素质!D:D,"=违纪违规扣分")</f>
        <v>0</v>
      </c>
      <c r="H48" s="19">
        <f>SUMIFS(德育素质!H:H,德育素质!B:B,B48,德育素质!D:D,"=荣誉称号加分")</f>
        <v>0</v>
      </c>
      <c r="I48" s="19">
        <f t="shared" si="9"/>
        <v>0</v>
      </c>
      <c r="J48" s="19">
        <f t="shared" si="10"/>
        <v>5.28</v>
      </c>
      <c r="K48" s="19">
        <f>(VLOOKUP(B48,智育素质!B:D,3,0)*10+50)*0.6</f>
        <v>46.212</v>
      </c>
      <c r="L48" s="19">
        <f>SUMIFS(体育素质!J:J,体育素质!B:B,B48,体育素质!D:D,"=体育课程成绩",体育素质!E:E,"=体育成绩")/40</f>
        <v>3.5</v>
      </c>
      <c r="M48" s="19">
        <f>SUMIFS(体育素质!L:L,体育素质!B:B,B48,体育素质!D:D,"=校内外体育竞赛")</f>
        <v>0</v>
      </c>
      <c r="N48" s="19">
        <f>SUMIFS(体育素质!L:L,体育素质!B:B,B48,体育素质!D:D,"=校内外体育活动",体育素质!E:E,"=早锻炼")</f>
        <v>0</v>
      </c>
      <c r="O48" s="19">
        <f>SUMIFS(体育素质!L:L,体育素质!B:B,B48,体育素质!D:D,"=校内外体育活动",体育素质!E:E,"=校园跑")</f>
        <v>0.632125</v>
      </c>
      <c r="P48" s="19">
        <f t="shared" si="11"/>
        <v>0.632125</v>
      </c>
      <c r="Q48" s="19">
        <f t="shared" si="12"/>
        <v>4.132125</v>
      </c>
      <c r="R48" s="19">
        <f>MIN(0.5,SUMIFS(美育素质!L:L,美育素质!B:B,B48,美育素质!D:D,"=文化艺术实践"))</f>
        <v>0</v>
      </c>
      <c r="S48" s="19">
        <f>SUMIFS(美育素质!L:L,美育素质!B:B,B48,美育素质!D:D,"=校内外文化艺术竞赛")</f>
        <v>0</v>
      </c>
      <c r="T48" s="19">
        <f t="shared" si="13"/>
        <v>0</v>
      </c>
      <c r="U48" s="19">
        <f>MAX(0,SUMIFS(劳育素质!K:K,劳育素质!B:B,B48,劳育素质!D:D,"=劳动日常考核基础分")+SUMIFS(劳育素质!K:K,劳育素质!B:B,B48,劳育素质!D:D,"=活动与卫生加减分"))</f>
        <v>1.45233333333333</v>
      </c>
      <c r="V48" s="19">
        <f>SUMIFS(劳育素质!K:K,劳育素质!B:B,B48,劳育素质!D:D,"=志愿服务",劳育素质!F:F,"=A类+B类")</f>
        <v>1.75</v>
      </c>
      <c r="W48" s="19">
        <f>SUMIFS(劳育素质!K:K,劳育素质!B:B,B48,劳育素质!D:D,"=志愿服务",劳育素质!F:F,"=C类")</f>
        <v>0</v>
      </c>
      <c r="X48" s="19">
        <f t="shared" si="14"/>
        <v>1.75</v>
      </c>
      <c r="Y48" s="19">
        <f>SUMIFS(劳育素质!K:K,劳育素质!B:B,B48,劳育素质!D:D,"=实习实训")</f>
        <v>0</v>
      </c>
      <c r="Z48" s="19">
        <f t="shared" si="15"/>
        <v>3.20233333333333</v>
      </c>
      <c r="AA48" s="19">
        <f>SUMIFS(创新与实践素质!L:L,创新与实践素质!B:B,B48,创新与实践素质!D:D,"=创新创业素质")</f>
        <v>0</v>
      </c>
      <c r="AB48" s="19">
        <f>SUMIFS(创新与实践素质!L:L,创新与实践素质!B:B,B48,创新与实践素质!D:D,"=水平考试")</f>
        <v>0</v>
      </c>
      <c r="AC48" s="19">
        <f>SUMIFS(创新与实践素质!L:L,创新与实践素质!B:B,B48,创新与实践素质!D:D,"=社会实践")</f>
        <v>0</v>
      </c>
      <c r="AD48" s="19">
        <f>_xlfn.MAXIFS(创新与实践素质!L:L,创新与实践素质!B:B,B48,创新与实践素质!D:D,"=社会工作能力（工作表现）",创新与实践素质!G:G,"=上学期")+_xlfn.MAXIFS(创新与实践素质!L:L,创新与实践素质!B:B,B48,创新与实践素质!D:D,"=社会工作能力（工作表现）",创新与实践素质!G:G,"=下学期")</f>
        <v>0</v>
      </c>
      <c r="AE48" s="19">
        <f t="shared" si="16"/>
        <v>0</v>
      </c>
      <c r="AF48" s="19">
        <f t="shared" si="17"/>
        <v>58.8264583333333</v>
      </c>
    </row>
    <row r="49" spans="1:32">
      <c r="A49" s="18" t="s">
        <v>6</v>
      </c>
      <c r="B49" s="18" t="s">
        <v>58</v>
      </c>
      <c r="C49" s="18"/>
      <c r="D49" s="19">
        <f>SUMIFS(德育素质!H:H,德育素质!B:B,B49,德育素质!D:D,"=基本评定分")</f>
        <v>5.28</v>
      </c>
      <c r="E49" s="19">
        <f>MIN(2,SUMIFS(德育素质!H:H,德育素质!A:A,A49,德育素质!D:D,"=集体评定等级分",德育素质!E:E,"=班级考评等级")+SUMIFS(德育素质!H:H,德育素质!B:B,B49,德育素质!D:D,"=集体评定等级分"))</f>
        <v>0</v>
      </c>
      <c r="F49" s="19">
        <f>MIN(2,SUMIFS(德育素质!H:H,德育素质!B:B,B49,德育素质!D:D,"=社会责任记实分"))</f>
        <v>0</v>
      </c>
      <c r="G49" s="19">
        <f>SUMIFS(德育素质!H:H,德育素质!B:B,B49,德育素质!D:D,"=违纪违规扣分")</f>
        <v>0</v>
      </c>
      <c r="H49" s="19">
        <f>SUMIFS(德育素质!H:H,德育素质!B:B,B49,德育素质!D:D,"=荣誉称号加分")</f>
        <v>0</v>
      </c>
      <c r="I49" s="19">
        <f t="shared" si="9"/>
        <v>0</v>
      </c>
      <c r="J49" s="19">
        <f t="shared" si="10"/>
        <v>5.28</v>
      </c>
      <c r="K49" s="19">
        <f>(VLOOKUP(B49,智育素质!B:D,3,0)*10+50)*0.6</f>
        <v>47.676</v>
      </c>
      <c r="L49" s="19">
        <f>SUMIFS(体育素质!J:J,体育素质!B:B,B49,体育素质!D:D,"=体育课程成绩",体育素质!E:E,"=体育成绩")/40</f>
        <v>3.375</v>
      </c>
      <c r="M49" s="19">
        <f>SUMIFS(体育素质!L:L,体育素质!B:B,B49,体育素质!D:D,"=校内外体育竞赛")</f>
        <v>0</v>
      </c>
      <c r="N49" s="19">
        <f>SUMIFS(体育素质!L:L,体育素质!B:B,B49,体育素质!D:D,"=校内外体育活动",体育素质!E:E,"=早锻炼")</f>
        <v>0</v>
      </c>
      <c r="O49" s="19">
        <f>SUMIFS(体育素质!L:L,体育素质!B:B,B49,体育素质!D:D,"=校内外体育活动",体育素质!E:E,"=校园跑")</f>
        <v>0</v>
      </c>
      <c r="P49" s="19">
        <f t="shared" si="11"/>
        <v>0</v>
      </c>
      <c r="Q49" s="19">
        <f t="shared" si="12"/>
        <v>3.375</v>
      </c>
      <c r="R49" s="19">
        <f>MIN(0.5,SUMIFS(美育素质!L:L,美育素质!B:B,B49,美育素质!D:D,"=文化艺术实践"))</f>
        <v>0</v>
      </c>
      <c r="S49" s="19">
        <f>SUMIFS(美育素质!L:L,美育素质!B:B,B49,美育素质!D:D,"=校内外文化艺术竞赛")</f>
        <v>0</v>
      </c>
      <c r="T49" s="19">
        <f t="shared" si="13"/>
        <v>0</v>
      </c>
      <c r="U49" s="19">
        <f>MAX(0,SUMIFS(劳育素质!K:K,劳育素质!B:B,B49,劳育素质!D:D,"=劳动日常考核基础分")+SUMIFS(劳育素质!K:K,劳育素质!B:B,B49,劳育素质!D:D,"=活动与卫生加减分"))</f>
        <v>1.38533333333333</v>
      </c>
      <c r="V49" s="19">
        <f>SUMIFS(劳育素质!K:K,劳育素质!B:B,B49,劳育素质!D:D,"=志愿服务",劳育素质!F:F,"=A类+B类")</f>
        <v>0</v>
      </c>
      <c r="W49" s="19">
        <f>SUMIFS(劳育素质!K:K,劳育素质!B:B,B49,劳育素质!D:D,"=志愿服务",劳育素质!F:F,"=C类")</f>
        <v>0</v>
      </c>
      <c r="X49" s="19">
        <f t="shared" si="14"/>
        <v>0</v>
      </c>
      <c r="Y49" s="19">
        <f>SUMIFS(劳育素质!K:K,劳育素质!B:B,B49,劳育素质!D:D,"=实习实训")</f>
        <v>0</v>
      </c>
      <c r="Z49" s="19">
        <f t="shared" si="15"/>
        <v>1.38533333333333</v>
      </c>
      <c r="AA49" s="19">
        <f>SUMIFS(创新与实践素质!L:L,创新与实践素质!B:B,B49,创新与实践素质!D:D,"=创新创业素质")</f>
        <v>0</v>
      </c>
      <c r="AB49" s="19">
        <f>SUMIFS(创新与实践素质!L:L,创新与实践素质!B:B,B49,创新与实践素质!D:D,"=水平考试")</f>
        <v>0</v>
      </c>
      <c r="AC49" s="19">
        <f>SUMIFS(创新与实践素质!L:L,创新与实践素质!B:B,B49,创新与实践素质!D:D,"=社会实践")</f>
        <v>0</v>
      </c>
      <c r="AD49" s="19">
        <f>_xlfn.MAXIFS(创新与实践素质!L:L,创新与实践素质!B:B,B49,创新与实践素质!D:D,"=社会工作能力（工作表现）",创新与实践素质!G:G,"=上学期")+_xlfn.MAXIFS(创新与实践素质!L:L,创新与实践素质!B:B,B49,创新与实践素质!D:D,"=社会工作能力（工作表现）",创新与实践素质!G:G,"=下学期")</f>
        <v>0</v>
      </c>
      <c r="AE49" s="19">
        <f t="shared" si="16"/>
        <v>0</v>
      </c>
      <c r="AF49" s="19">
        <f t="shared" si="17"/>
        <v>57.7163333333333</v>
      </c>
    </row>
    <row r="50" spans="1:32">
      <c r="A50" s="18" t="s">
        <v>6</v>
      </c>
      <c r="B50" s="18" t="s">
        <v>44</v>
      </c>
      <c r="C50" s="18"/>
      <c r="D50" s="19">
        <f>SUMIFS(德育素质!H:H,德育素质!B:B,B50,德育素质!D:D,"=基本评定分")</f>
        <v>6</v>
      </c>
      <c r="E50" s="19">
        <f>MIN(2,SUMIFS(德育素质!H:H,德育素质!A:A,A50,德育素质!D:D,"=集体评定等级分",德育素质!E:E,"=班级考评等级")+SUMIFS(德育素质!H:H,德育素质!B:B,B50,德育素质!D:D,"=集体评定等级分"))</f>
        <v>0</v>
      </c>
      <c r="F50" s="19">
        <f>MIN(2,SUMIFS(德育素质!H:H,德育素质!B:B,B50,德育素质!D:D,"=社会责任记实分"))</f>
        <v>0.5</v>
      </c>
      <c r="G50" s="19">
        <f>SUMIFS(德育素质!H:H,德育素质!B:B,B50,德育素质!D:D,"=违纪违规扣分")</f>
        <v>0</v>
      </c>
      <c r="H50" s="19">
        <f>SUMIFS(德育素质!H:H,德育素质!B:B,B50,德育素质!D:D,"=荣誉称号加分")</f>
        <v>0.25</v>
      </c>
      <c r="I50" s="19">
        <f t="shared" si="9"/>
        <v>0.75</v>
      </c>
      <c r="J50" s="19">
        <f t="shared" si="10"/>
        <v>6.75</v>
      </c>
      <c r="K50" s="19">
        <f>(VLOOKUP(B50,智育素质!B:D,3,0)*10+50)*0.6</f>
        <v>47.082</v>
      </c>
      <c r="L50" s="19">
        <f>SUMIFS(体育素质!J:J,体育素质!B:B,B50,体育素质!D:D,"=体育课程成绩",体育素质!E:E,"=体育成绩")/40</f>
        <v>4.155</v>
      </c>
      <c r="M50" s="19">
        <f>SUMIFS(体育素质!L:L,体育素质!B:B,B50,体育素质!D:D,"=校内外体育竞赛")</f>
        <v>0</v>
      </c>
      <c r="N50" s="19">
        <f>SUMIFS(体育素质!L:L,体育素质!B:B,B50,体育素质!D:D,"=校内外体育活动",体育素质!E:E,"=早锻炼")</f>
        <v>0</v>
      </c>
      <c r="O50" s="19">
        <f>SUMIFS(体育素质!L:L,体育素质!B:B,B50,体育素质!D:D,"=校内外体育活动",体育素质!E:E,"=校园跑")</f>
        <v>1</v>
      </c>
      <c r="P50" s="19">
        <f t="shared" si="11"/>
        <v>1</v>
      </c>
      <c r="Q50" s="19">
        <f t="shared" si="12"/>
        <v>5.155</v>
      </c>
      <c r="R50" s="19">
        <f>MIN(0.5,SUMIFS(美育素质!L:L,美育素质!B:B,B50,美育素质!D:D,"=文化艺术实践"))</f>
        <v>0</v>
      </c>
      <c r="S50" s="19">
        <f>SUMIFS(美育素质!L:L,美育素质!B:B,B50,美育素质!D:D,"=校内外文化艺术竞赛")</f>
        <v>0</v>
      </c>
      <c r="T50" s="19">
        <f t="shared" si="13"/>
        <v>0</v>
      </c>
      <c r="U50" s="19">
        <f>MAX(0,SUMIFS(劳育素质!K:K,劳育素质!B:B,B50,劳育素质!D:D,"=劳动日常考核基础分")+SUMIFS(劳育素质!K:K,劳育素质!B:B,B50,劳育素质!D:D,"=活动与卫生加减分"))</f>
        <v>1.45651587301587</v>
      </c>
      <c r="V50" s="19">
        <f>SUMIFS(劳育素质!K:K,劳育素质!B:B,B50,劳育素质!D:D,"=志愿服务",劳育素质!F:F,"=A类+B类")</f>
        <v>0.3</v>
      </c>
      <c r="W50" s="19">
        <f>SUMIFS(劳育素质!K:K,劳育素质!B:B,B50,劳育素质!D:D,"=志愿服务",劳育素质!F:F,"=C类")</f>
        <v>0</v>
      </c>
      <c r="X50" s="19">
        <f t="shared" si="14"/>
        <v>0.3</v>
      </c>
      <c r="Y50" s="19">
        <f>SUMIFS(劳育素质!K:K,劳育素质!B:B,B50,劳育素质!D:D,"=实习实训")</f>
        <v>0</v>
      </c>
      <c r="Z50" s="19">
        <f t="shared" si="15"/>
        <v>1.75651587301587</v>
      </c>
      <c r="AA50" s="19">
        <f>SUMIFS(创新与实践素质!L:L,创新与实践素质!B:B,B50,创新与实践素质!D:D,"=创新创业素质")</f>
        <v>0</v>
      </c>
      <c r="AB50" s="19">
        <f>SUMIFS(创新与实践素质!L:L,创新与实践素质!B:B,B50,创新与实践素质!D:D,"=水平考试")</f>
        <v>0</v>
      </c>
      <c r="AC50" s="19">
        <f>SUMIFS(创新与实践素质!L:L,创新与实践素质!B:B,B50,创新与实践素质!D:D,"=社会实践")</f>
        <v>0</v>
      </c>
      <c r="AD50" s="19">
        <f>_xlfn.MAXIFS(创新与实践素质!L:L,创新与实践素质!B:B,B50,创新与实践素质!D:D,"=社会工作能力（工作表现）",创新与实践素质!G:G,"=上学期")+_xlfn.MAXIFS(创新与实践素质!L:L,创新与实践素质!B:B,B50,创新与实践素质!D:D,"=社会工作能力（工作表现）",创新与实践素质!G:G,"=下学期")</f>
        <v>0.8</v>
      </c>
      <c r="AE50" s="19">
        <f t="shared" si="16"/>
        <v>0.8</v>
      </c>
      <c r="AF50" s="19">
        <f t="shared" si="17"/>
        <v>61.5435158730159</v>
      </c>
    </row>
    <row r="51" spans="1:32">
      <c r="A51" s="18" t="s">
        <v>6</v>
      </c>
      <c r="B51" s="18" t="s">
        <v>45</v>
      </c>
      <c r="C51" s="18"/>
      <c r="D51" s="19">
        <f>SUMIFS(德育素质!H:H,德育素质!B:B,B51,德育素质!D:D,"=基本评定分")</f>
        <v>5.28</v>
      </c>
      <c r="E51" s="19">
        <f>MIN(2,SUMIFS(德育素质!H:H,德育素质!A:A,A51,德育素质!D:D,"=集体评定等级分",德育素质!E:E,"=班级考评等级")+SUMIFS(德育素质!H:H,德育素质!B:B,B51,德育素质!D:D,"=集体评定等级分"))</f>
        <v>0</v>
      </c>
      <c r="F51" s="19">
        <f>MIN(2,SUMIFS(德育素质!H:H,德育素质!B:B,B51,德育素质!D:D,"=社会责任记实分"))</f>
        <v>0</v>
      </c>
      <c r="G51" s="19">
        <f>SUMIFS(德育素质!H:H,德育素质!B:B,B51,德育素质!D:D,"=违纪违规扣分")</f>
        <v>0</v>
      </c>
      <c r="H51" s="19">
        <f>SUMIFS(德育素质!H:H,德育素质!B:B,B51,德育素质!D:D,"=荣誉称号加分")</f>
        <v>0</v>
      </c>
      <c r="I51" s="19">
        <f t="shared" si="9"/>
        <v>0</v>
      </c>
      <c r="J51" s="19">
        <f t="shared" si="10"/>
        <v>5.28</v>
      </c>
      <c r="K51" s="19">
        <f>(VLOOKUP(B51,智育素质!B:D,3,0)*10+50)*0.6</f>
        <v>52.038</v>
      </c>
      <c r="L51" s="19">
        <f>SUMIFS(体育素质!J:J,体育素质!B:B,B51,体育素质!D:D,"=体育课程成绩",体育素质!E:E,"=体育成绩")/40</f>
        <v>3.55</v>
      </c>
      <c r="M51" s="19">
        <f>SUMIFS(体育素质!L:L,体育素质!B:B,B51,体育素质!D:D,"=校内外体育竞赛")</f>
        <v>0</v>
      </c>
      <c r="N51" s="19">
        <f>SUMIFS(体育素质!L:L,体育素质!B:B,B51,体育素质!D:D,"=校内外体育活动",体育素质!E:E,"=早锻炼")</f>
        <v>0</v>
      </c>
      <c r="O51" s="19">
        <f>SUMIFS(体育素质!L:L,体育素质!B:B,B51,体育素质!D:D,"=校内外体育活动",体育素质!E:E,"=校园跑")</f>
        <v>0.625</v>
      </c>
      <c r="P51" s="19">
        <f t="shared" si="11"/>
        <v>0.625</v>
      </c>
      <c r="Q51" s="19">
        <f t="shared" si="12"/>
        <v>4.175</v>
      </c>
      <c r="R51" s="19">
        <f>MIN(0.5,SUMIFS(美育素质!L:L,美育素质!B:B,B51,美育素质!D:D,"=文化艺术实践"))</f>
        <v>0</v>
      </c>
      <c r="S51" s="19">
        <f>SUMIFS(美育素质!L:L,美育素质!B:B,B51,美育素质!D:D,"=校内外文化艺术竞赛")</f>
        <v>0</v>
      </c>
      <c r="T51" s="19">
        <f t="shared" si="13"/>
        <v>0</v>
      </c>
      <c r="U51" s="19">
        <f>MAX(0,SUMIFS(劳育素质!K:K,劳育素质!B:B,B51,劳育素质!D:D,"=劳动日常考核基础分")+SUMIFS(劳育素质!K:K,劳育素质!B:B,B51,劳育素质!D:D,"=活动与卫生加减分"))</f>
        <v>1.51683333333333</v>
      </c>
      <c r="V51" s="19">
        <f>SUMIFS(劳育素质!K:K,劳育素质!B:B,B51,劳育素质!D:D,"=志愿服务",劳育素质!F:F,"=A类+B类")</f>
        <v>0</v>
      </c>
      <c r="W51" s="19">
        <f>SUMIFS(劳育素质!K:K,劳育素质!B:B,B51,劳育素质!D:D,"=志愿服务",劳育素质!F:F,"=C类")</f>
        <v>0</v>
      </c>
      <c r="X51" s="19">
        <f t="shared" si="14"/>
        <v>0</v>
      </c>
      <c r="Y51" s="19">
        <f>SUMIFS(劳育素质!K:K,劳育素质!B:B,B51,劳育素质!D:D,"=实习实训")</f>
        <v>0</v>
      </c>
      <c r="Z51" s="19">
        <f t="shared" si="15"/>
        <v>1.51683333333333</v>
      </c>
      <c r="AA51" s="19">
        <f>SUMIFS(创新与实践素质!L:L,创新与实践素质!B:B,B51,创新与实践素质!D:D,"=创新创业素质")</f>
        <v>0</v>
      </c>
      <c r="AB51" s="19">
        <f>SUMIFS(创新与实践素质!L:L,创新与实践素质!B:B,B51,创新与实践素质!D:D,"=水平考试")</f>
        <v>0</v>
      </c>
      <c r="AC51" s="19">
        <f>SUMIFS(创新与实践素质!L:L,创新与实践素质!B:B,B51,创新与实践素质!D:D,"=社会实践")</f>
        <v>0</v>
      </c>
      <c r="AD51" s="19">
        <f>_xlfn.MAXIFS(创新与实践素质!L:L,创新与实践素质!B:B,B51,创新与实践素质!D:D,"=社会工作能力（工作表现）",创新与实践素质!G:G,"=上学期")+_xlfn.MAXIFS(创新与实践素质!L:L,创新与实践素质!B:B,B51,创新与实践素质!D:D,"=社会工作能力（工作表现）",创新与实践素质!G:G,"=下学期")</f>
        <v>0</v>
      </c>
      <c r="AE51" s="19">
        <f t="shared" si="16"/>
        <v>0</v>
      </c>
      <c r="AF51" s="19">
        <f t="shared" si="17"/>
        <v>63.0098333333333</v>
      </c>
    </row>
    <row r="52" spans="1:32">
      <c r="A52" s="18" t="s">
        <v>6</v>
      </c>
      <c r="B52" s="18" t="s">
        <v>59</v>
      </c>
      <c r="C52" s="18"/>
      <c r="D52" s="19">
        <f>SUMIFS(德育素质!H:H,德育素质!B:B,B52,德育素质!D:D,"=基本评定分")</f>
        <v>6</v>
      </c>
      <c r="E52" s="19">
        <f>MIN(2,SUMIFS(德育素质!H:H,德育素质!A:A,A52,德育素质!D:D,"=集体评定等级分",德育素质!E:E,"=班级考评等级")+SUMIFS(德育素质!H:H,德育素质!B:B,B52,德育素质!D:D,"=集体评定等级分"))</f>
        <v>0</v>
      </c>
      <c r="F52" s="19">
        <f>MIN(2,SUMIFS(德育素质!H:H,德育素质!B:B,B52,德育素质!D:D,"=社会责任记实分"))</f>
        <v>0</v>
      </c>
      <c r="G52" s="19">
        <f>SUMIFS(德育素质!H:H,德育素质!B:B,B52,德育素质!D:D,"=违纪违规扣分")</f>
        <v>0</v>
      </c>
      <c r="H52" s="19">
        <f>SUMIFS(德育素质!H:H,德育素质!B:B,B52,德育素质!D:D,"=荣誉称号加分")</f>
        <v>0</v>
      </c>
      <c r="I52" s="19">
        <f t="shared" si="9"/>
        <v>0</v>
      </c>
      <c r="J52" s="19">
        <f t="shared" si="10"/>
        <v>6</v>
      </c>
      <c r="K52" s="19">
        <f>(VLOOKUP(B52,智育素质!B:D,3,0)*10+50)*0.6</f>
        <v>46.68</v>
      </c>
      <c r="L52" s="19">
        <f>SUMIFS(体育素质!J:J,体育素质!B:B,B52,体育素质!D:D,"=体育课程成绩",体育素质!E:E,"=体育成绩")/40</f>
        <v>4.46</v>
      </c>
      <c r="M52" s="19">
        <f>SUMIFS(体育素质!L:L,体育素质!B:B,B52,体育素质!D:D,"=校内外体育竞赛")</f>
        <v>0</v>
      </c>
      <c r="N52" s="19">
        <f>SUMIFS(体育素质!L:L,体育素质!B:B,B52,体育素质!D:D,"=校内外体育活动",体育素质!E:E,"=早锻炼")</f>
        <v>0</v>
      </c>
      <c r="O52" s="19">
        <f>SUMIFS(体育素质!L:L,体育素质!B:B,B52,体育素质!D:D,"=校内外体育活动",体育素质!E:E,"=校园跑")</f>
        <v>1</v>
      </c>
      <c r="P52" s="19">
        <f t="shared" si="11"/>
        <v>1</v>
      </c>
      <c r="Q52" s="19">
        <f t="shared" si="12"/>
        <v>5.46</v>
      </c>
      <c r="R52" s="19">
        <f>MIN(0.5,SUMIFS(美育素质!L:L,美育素质!B:B,B52,美育素质!D:D,"=文化艺术实践"))</f>
        <v>0</v>
      </c>
      <c r="S52" s="19">
        <f>SUMIFS(美育素质!L:L,美育素质!B:B,B52,美育素质!D:D,"=校内外文化艺术竞赛")</f>
        <v>0</v>
      </c>
      <c r="T52" s="19">
        <f t="shared" si="13"/>
        <v>0</v>
      </c>
      <c r="U52" s="19">
        <f>MAX(0,SUMIFS(劳育素质!K:K,劳育素质!B:B,B52,劳育素质!D:D,"=劳动日常考核基础分")+SUMIFS(劳育素质!K:K,劳育素质!B:B,B52,劳育素质!D:D,"=活动与卫生加减分"))</f>
        <v>1.389</v>
      </c>
      <c r="V52" s="19">
        <f>SUMIFS(劳育素质!K:K,劳育素质!B:B,B52,劳育素质!D:D,"=志愿服务",劳育素质!F:F,"=A类+B类")</f>
        <v>0</v>
      </c>
      <c r="W52" s="19">
        <f>SUMIFS(劳育素质!K:K,劳育素质!B:B,B52,劳育素质!D:D,"=志愿服务",劳育素质!F:F,"=C类")</f>
        <v>0</v>
      </c>
      <c r="X52" s="19">
        <f t="shared" si="14"/>
        <v>0</v>
      </c>
      <c r="Y52" s="19">
        <f>SUMIFS(劳育素质!K:K,劳育素质!B:B,B52,劳育素质!D:D,"=实习实训")</f>
        <v>0</v>
      </c>
      <c r="Z52" s="19">
        <f t="shared" si="15"/>
        <v>1.389</v>
      </c>
      <c r="AA52" s="19">
        <f>SUMIFS(创新与实践素质!L:L,创新与实践素质!B:B,B52,创新与实践素质!D:D,"=创新创业素质")</f>
        <v>0</v>
      </c>
      <c r="AB52" s="19">
        <f>SUMIFS(创新与实践素质!L:L,创新与实践素质!B:B,B52,创新与实践素质!D:D,"=水平考试")</f>
        <v>0</v>
      </c>
      <c r="AC52" s="19">
        <f>SUMIFS(创新与实践素质!L:L,创新与实践素质!B:B,B52,创新与实践素质!D:D,"=社会实践")</f>
        <v>0</v>
      </c>
      <c r="AD52" s="19">
        <f>_xlfn.MAXIFS(创新与实践素质!L:L,创新与实践素质!B:B,B52,创新与实践素质!D:D,"=社会工作能力（工作表现）",创新与实践素质!G:G,"=上学期")+_xlfn.MAXIFS(创新与实践素质!L:L,创新与实践素质!B:B,B52,创新与实践素质!D:D,"=社会工作能力（工作表现）",创新与实践素质!G:G,"=下学期")</f>
        <v>0.6</v>
      </c>
      <c r="AE52" s="19">
        <f t="shared" si="16"/>
        <v>0.6</v>
      </c>
      <c r="AF52" s="19">
        <f t="shared" si="17"/>
        <v>60.129</v>
      </c>
    </row>
    <row r="53" spans="1:32">
      <c r="A53" s="18" t="s">
        <v>6</v>
      </c>
      <c r="B53" s="18" t="s">
        <v>52</v>
      </c>
      <c r="C53" s="18"/>
      <c r="D53" s="19">
        <f>SUMIFS(德育素质!H:H,德育素质!B:B,B53,德育素质!D:D,"=基本评定分")</f>
        <v>6</v>
      </c>
      <c r="E53" s="19">
        <f>MIN(2,SUMIFS(德育素质!H:H,德育素质!A:A,A53,德育素质!D:D,"=集体评定等级分",德育素质!E:E,"=班级考评等级")+SUMIFS(德育素质!H:H,德育素质!B:B,B53,德育素质!D:D,"=集体评定等级分"))</f>
        <v>0</v>
      </c>
      <c r="F53" s="19">
        <f>MIN(2,SUMIFS(德育素质!H:H,德育素质!B:B,B53,德育素质!D:D,"=社会责任记实分"))</f>
        <v>0.1</v>
      </c>
      <c r="G53" s="19">
        <f>SUMIFS(德育素质!H:H,德育素质!B:B,B53,德育素质!D:D,"=违纪违规扣分")</f>
        <v>0</v>
      </c>
      <c r="H53" s="19">
        <f>SUMIFS(德育素质!H:H,德育素质!B:B,B53,德育素质!D:D,"=荣誉称号加分")</f>
        <v>0.25</v>
      </c>
      <c r="I53" s="19">
        <f t="shared" si="9"/>
        <v>0.35</v>
      </c>
      <c r="J53" s="19">
        <f t="shared" si="10"/>
        <v>6.35</v>
      </c>
      <c r="K53" s="19">
        <f>(VLOOKUP(B53,智育素质!B:D,3,0)*10+50)*0.6</f>
        <v>51.066</v>
      </c>
      <c r="L53" s="19">
        <f>SUMIFS(体育素质!J:J,体育素质!B:B,B53,体育素质!D:D,"=体育课程成绩",体育素质!E:E,"=体育成绩")/40</f>
        <v>3.87</v>
      </c>
      <c r="M53" s="19">
        <f>SUMIFS(体育素质!L:L,体育素质!B:B,B53,体育素质!D:D,"=校内外体育竞赛")</f>
        <v>0</v>
      </c>
      <c r="N53" s="19">
        <f>SUMIFS(体育素质!L:L,体育素质!B:B,B53,体育素质!D:D,"=校内外体育活动",体育素质!E:E,"=早锻炼")</f>
        <v>0</v>
      </c>
      <c r="O53" s="19">
        <f>SUMIFS(体育素质!L:L,体育素质!B:B,B53,体育素质!D:D,"=校内外体育活动",体育素质!E:E,"=校园跑")</f>
        <v>1</v>
      </c>
      <c r="P53" s="19">
        <f t="shared" si="11"/>
        <v>1</v>
      </c>
      <c r="Q53" s="19">
        <f t="shared" si="12"/>
        <v>4.87</v>
      </c>
      <c r="R53" s="19">
        <f>MIN(0.5,SUMIFS(美育素质!L:L,美育素质!B:B,B53,美育素质!D:D,"=文化艺术实践"))</f>
        <v>0</v>
      </c>
      <c r="S53" s="19">
        <f>SUMIFS(美育素质!L:L,美育素质!B:B,B53,美育素质!D:D,"=校内外文化艺术竞赛")</f>
        <v>0</v>
      </c>
      <c r="T53" s="19">
        <f t="shared" si="13"/>
        <v>0</v>
      </c>
      <c r="U53" s="19">
        <f>MAX(0,SUMIFS(劳育素质!K:K,劳育素质!B:B,B53,劳育素质!D:D,"=劳动日常考核基础分")+SUMIFS(劳育素质!K:K,劳育素质!B:B,B53,劳育素质!D:D,"=活动与卫生加减分"))</f>
        <v>1.4416</v>
      </c>
      <c r="V53" s="19">
        <f>SUMIFS(劳育素质!K:K,劳育素质!B:B,B53,劳育素质!D:D,"=志愿服务",劳育素质!F:F,"=A类+B类")</f>
        <v>2.425</v>
      </c>
      <c r="W53" s="19">
        <f>SUMIFS(劳育素质!K:K,劳育素质!B:B,B53,劳育素质!D:D,"=志愿服务",劳育素质!F:F,"=C类")</f>
        <v>0</v>
      </c>
      <c r="X53" s="19">
        <f t="shared" si="14"/>
        <v>2.425</v>
      </c>
      <c r="Y53" s="19">
        <f>SUMIFS(劳育素质!K:K,劳育素质!B:B,B53,劳育素质!D:D,"=实习实训")</f>
        <v>0</v>
      </c>
      <c r="Z53" s="19">
        <f t="shared" si="15"/>
        <v>3.8666</v>
      </c>
      <c r="AA53" s="19">
        <f>SUMIFS(创新与实践素质!L:L,创新与实践素质!B:B,B53,创新与实践素质!D:D,"=创新创业素质")</f>
        <v>0</v>
      </c>
      <c r="AB53" s="19">
        <f>SUMIFS(创新与实践素质!L:L,创新与实践素质!B:B,B53,创新与实践素质!D:D,"=水平考试")</f>
        <v>0.5</v>
      </c>
      <c r="AC53" s="19">
        <f>SUMIFS(创新与实践素质!L:L,创新与实践素质!B:B,B53,创新与实践素质!D:D,"=社会实践")</f>
        <v>0</v>
      </c>
      <c r="AD53" s="19">
        <f>_xlfn.MAXIFS(创新与实践素质!L:L,创新与实践素质!B:B,B53,创新与实践素质!D:D,"=社会工作能力（工作表现）",创新与实践素质!G:G,"=上学期")+_xlfn.MAXIFS(创新与实践素质!L:L,创新与实践素质!B:B,B53,创新与实践素质!D:D,"=社会工作能力（工作表现）",创新与实践素质!G:G,"=下学期")</f>
        <v>1.4</v>
      </c>
      <c r="AE53" s="19">
        <f t="shared" si="16"/>
        <v>1.9</v>
      </c>
      <c r="AF53" s="19">
        <f t="shared" si="17"/>
        <v>68.0526</v>
      </c>
    </row>
    <row r="54" spans="1:32">
      <c r="A54" s="18" t="s">
        <v>6</v>
      </c>
      <c r="B54" s="18" t="s">
        <v>48</v>
      </c>
      <c r="C54" s="18"/>
      <c r="D54" s="19">
        <f>SUMIFS(德育素质!H:H,德育素质!B:B,B54,德育素质!D:D,"=基本评定分")</f>
        <v>5.28</v>
      </c>
      <c r="E54" s="19">
        <f>MIN(2,SUMIFS(德育素质!H:H,德育素质!A:A,A54,德育素质!D:D,"=集体评定等级分",德育素质!E:E,"=班级考评等级")+SUMIFS(德育素质!H:H,德育素质!B:B,B54,德育素质!D:D,"=集体评定等级分"))</f>
        <v>0</v>
      </c>
      <c r="F54" s="19">
        <f>MIN(2,SUMIFS(德育素质!H:H,德育素质!B:B,B54,德育素质!D:D,"=社会责任记实分"))</f>
        <v>0</v>
      </c>
      <c r="G54" s="19">
        <f>SUMIFS(德育素质!H:H,德育素质!B:B,B54,德育素质!D:D,"=违纪违规扣分")</f>
        <v>0</v>
      </c>
      <c r="H54" s="19">
        <f>SUMIFS(德育素质!H:H,德育素质!B:B,B54,德育素质!D:D,"=荣誉称号加分")</f>
        <v>0</v>
      </c>
      <c r="I54" s="19">
        <f t="shared" si="9"/>
        <v>0</v>
      </c>
      <c r="J54" s="19">
        <f t="shared" si="10"/>
        <v>5.28</v>
      </c>
      <c r="K54" s="19">
        <f>(VLOOKUP(B54,智育素质!B:D,3,0)*10+50)*0.6</f>
        <v>54.606</v>
      </c>
      <c r="L54" s="19">
        <f>SUMIFS(体育素质!J:J,体育素质!B:B,B54,体育素质!D:D,"=体育课程成绩",体育素质!E:E,"=体育成绩")/40</f>
        <v>3.575</v>
      </c>
      <c r="M54" s="19">
        <f>SUMIFS(体育素质!L:L,体育素质!B:B,B54,体育素质!D:D,"=校内外体育竞赛")</f>
        <v>0</v>
      </c>
      <c r="N54" s="19">
        <f>SUMIFS(体育素质!L:L,体育素质!B:B,B54,体育素质!D:D,"=校内外体育活动",体育素质!E:E,"=早锻炼")</f>
        <v>0</v>
      </c>
      <c r="O54" s="19">
        <f>SUMIFS(体育素质!L:L,体育素质!B:B,B54,体育素质!D:D,"=校内外体育活动",体育素质!E:E,"=校园跑")</f>
        <v>0.625364583333333</v>
      </c>
      <c r="P54" s="19">
        <f t="shared" si="11"/>
        <v>0.625364583333333</v>
      </c>
      <c r="Q54" s="19">
        <f t="shared" si="12"/>
        <v>4.20036458333333</v>
      </c>
      <c r="R54" s="19">
        <f>MIN(0.5,SUMIFS(美育素质!L:L,美育素质!B:B,B54,美育素质!D:D,"=文化艺术实践"))</f>
        <v>0</v>
      </c>
      <c r="S54" s="19">
        <f>SUMIFS(美育素质!L:L,美育素质!B:B,B54,美育素质!D:D,"=校内外文化艺术竞赛")</f>
        <v>0</v>
      </c>
      <c r="T54" s="19">
        <f t="shared" si="13"/>
        <v>0</v>
      </c>
      <c r="U54" s="19">
        <f>MAX(0,SUMIFS(劳育素质!K:K,劳育素质!B:B,B54,劳育素质!D:D,"=劳动日常考核基础分")+SUMIFS(劳育素质!K:K,劳育素质!B:B,B54,劳育素质!D:D,"=活动与卫生加减分"))</f>
        <v>1.51683333333333</v>
      </c>
      <c r="V54" s="19">
        <f>SUMIFS(劳育素质!K:K,劳育素质!B:B,B54,劳育素质!D:D,"=志愿服务",劳育素质!F:F,"=A类+B类")</f>
        <v>0</v>
      </c>
      <c r="W54" s="19">
        <f>SUMIFS(劳育素质!K:K,劳育素质!B:B,B54,劳育素质!D:D,"=志愿服务",劳育素质!F:F,"=C类")</f>
        <v>0</v>
      </c>
      <c r="X54" s="19">
        <f t="shared" si="14"/>
        <v>0</v>
      </c>
      <c r="Y54" s="19">
        <f>SUMIFS(劳育素质!K:K,劳育素质!B:B,B54,劳育素质!D:D,"=实习实训")</f>
        <v>0</v>
      </c>
      <c r="Z54" s="19">
        <f t="shared" si="15"/>
        <v>1.51683333333333</v>
      </c>
      <c r="AA54" s="19">
        <f>SUMIFS(创新与实践素质!L:L,创新与实践素质!B:B,B54,创新与实践素质!D:D,"=创新创业素质")</f>
        <v>0</v>
      </c>
      <c r="AB54" s="19">
        <f>SUMIFS(创新与实践素质!L:L,创新与实践素质!B:B,B54,创新与实践素质!D:D,"=水平考试")</f>
        <v>0.833</v>
      </c>
      <c r="AC54" s="19">
        <f>SUMIFS(创新与实践素质!L:L,创新与实践素质!B:B,B54,创新与实践素质!D:D,"=社会实践")</f>
        <v>0</v>
      </c>
      <c r="AD54" s="19">
        <f>_xlfn.MAXIFS(创新与实践素质!L:L,创新与实践素质!B:B,B54,创新与实践素质!D:D,"=社会工作能力（工作表现）",创新与实践素质!G:G,"=上学期")+_xlfn.MAXIFS(创新与实践素质!L:L,创新与实践素质!B:B,B54,创新与实践素质!D:D,"=社会工作能力（工作表现）",创新与实践素质!G:G,"=下学期")</f>
        <v>0</v>
      </c>
      <c r="AE54" s="19">
        <f t="shared" si="16"/>
        <v>0.833</v>
      </c>
      <c r="AF54" s="19">
        <f t="shared" si="17"/>
        <v>66.4361979166667</v>
      </c>
    </row>
    <row r="55" spans="1:32">
      <c r="A55" s="18" t="s">
        <v>6</v>
      </c>
      <c r="B55" s="18" t="s">
        <v>36</v>
      </c>
      <c r="C55" s="18"/>
      <c r="D55" s="19">
        <f>SUMIFS(德育素质!H:H,德育素质!B:B,B55,德育素质!D:D,"=基本评定分")</f>
        <v>5.28</v>
      </c>
      <c r="E55" s="19">
        <f>MIN(2,SUMIFS(德育素质!H:H,德育素质!A:A,A55,德育素质!D:D,"=集体评定等级分",德育素质!E:E,"=班级考评等级")+SUMIFS(德育素质!H:H,德育素质!B:B,B55,德育素质!D:D,"=集体评定等级分"))</f>
        <v>0</v>
      </c>
      <c r="F55" s="19">
        <f>MIN(2,SUMIFS(德育素质!H:H,德育素质!B:B,B55,德育素质!D:D,"=社会责任记实分"))</f>
        <v>0</v>
      </c>
      <c r="G55" s="19">
        <f>SUMIFS(德育素质!H:H,德育素质!B:B,B55,德育素质!D:D,"=违纪违规扣分")</f>
        <v>0</v>
      </c>
      <c r="H55" s="19">
        <f>SUMIFS(德育素质!H:H,德育素质!B:B,B55,德育素质!D:D,"=荣誉称号加分")</f>
        <v>0</v>
      </c>
      <c r="I55" s="19">
        <f t="shared" si="9"/>
        <v>0</v>
      </c>
      <c r="J55" s="19">
        <f t="shared" si="10"/>
        <v>5.28</v>
      </c>
      <c r="K55" s="19">
        <f>(VLOOKUP(B55,智育素质!B:D,3,0)*10+50)*0.6</f>
        <v>48.348</v>
      </c>
      <c r="L55" s="19">
        <f>SUMIFS(体育素质!J:J,体育素质!B:B,B55,体育素质!D:D,"=体育课程成绩",体育素质!E:E,"=体育成绩")/40</f>
        <v>3.4</v>
      </c>
      <c r="M55" s="19">
        <f>SUMIFS(体育素质!L:L,体育素质!B:B,B55,体育素质!D:D,"=校内外体育竞赛")</f>
        <v>0</v>
      </c>
      <c r="N55" s="19">
        <f>SUMIFS(体育素质!L:L,体育素质!B:B,B55,体育素质!D:D,"=校内外体育活动",体育素质!E:E,"=早锻炼")</f>
        <v>0</v>
      </c>
      <c r="O55" s="19">
        <f>SUMIFS(体育素质!L:L,体育素质!B:B,B55,体育素质!D:D,"=校内外体育活动",体育素质!E:E,"=校园跑")</f>
        <v>0</v>
      </c>
      <c r="P55" s="19">
        <f t="shared" si="11"/>
        <v>0</v>
      </c>
      <c r="Q55" s="19">
        <f t="shared" si="12"/>
        <v>3.4</v>
      </c>
      <c r="R55" s="19">
        <f>MIN(0.5,SUMIFS(美育素质!L:L,美育素质!B:B,B55,美育素质!D:D,"=文化艺术实践"))</f>
        <v>0</v>
      </c>
      <c r="S55" s="19">
        <f>SUMIFS(美育素质!L:L,美育素质!B:B,B55,美育素质!D:D,"=校内外文化艺术竞赛")</f>
        <v>0</v>
      </c>
      <c r="T55" s="19">
        <f t="shared" si="13"/>
        <v>0</v>
      </c>
      <c r="U55" s="19">
        <f>MAX(0,SUMIFS(劳育素质!K:K,劳育素质!B:B,B55,劳育素质!D:D,"=劳动日常考核基础分")+SUMIFS(劳育素质!K:K,劳育素质!B:B,B55,劳育素质!D:D,"=活动与卫生加减分"))</f>
        <v>1.54366666666667</v>
      </c>
      <c r="V55" s="19">
        <f>SUMIFS(劳育素质!K:K,劳育素质!B:B,B55,劳育素质!D:D,"=志愿服务",劳育素质!F:F,"=A类+B类")</f>
        <v>0</v>
      </c>
      <c r="W55" s="19">
        <f>SUMIFS(劳育素质!K:K,劳育素质!B:B,B55,劳育素质!D:D,"=志愿服务",劳育素质!F:F,"=C类")</f>
        <v>0</v>
      </c>
      <c r="X55" s="19">
        <f t="shared" si="14"/>
        <v>0</v>
      </c>
      <c r="Y55" s="19">
        <f>SUMIFS(劳育素质!K:K,劳育素质!B:B,B55,劳育素质!D:D,"=实习实训")</f>
        <v>0</v>
      </c>
      <c r="Z55" s="19">
        <f t="shared" si="15"/>
        <v>1.54366666666667</v>
      </c>
      <c r="AA55" s="19">
        <f>SUMIFS(创新与实践素质!L:L,创新与实践素质!B:B,B55,创新与实践素质!D:D,"=创新创业素质")</f>
        <v>0</v>
      </c>
      <c r="AB55" s="19">
        <f>SUMIFS(创新与实践素质!L:L,创新与实践素质!B:B,B55,创新与实践素质!D:D,"=水平考试")</f>
        <v>0</v>
      </c>
      <c r="AC55" s="19">
        <f>SUMIFS(创新与实践素质!L:L,创新与实践素质!B:B,B55,创新与实践素质!D:D,"=社会实践")</f>
        <v>0</v>
      </c>
      <c r="AD55" s="19">
        <f>_xlfn.MAXIFS(创新与实践素质!L:L,创新与实践素质!B:B,B55,创新与实践素质!D:D,"=社会工作能力（工作表现）",创新与实践素质!G:G,"=上学期")+_xlfn.MAXIFS(创新与实践素质!L:L,创新与实践素质!B:B,B55,创新与实践素质!D:D,"=社会工作能力（工作表现）",创新与实践素质!G:G,"=下学期")</f>
        <v>0</v>
      </c>
      <c r="AE55" s="19">
        <f t="shared" si="16"/>
        <v>0</v>
      </c>
      <c r="AF55" s="19">
        <f t="shared" si="17"/>
        <v>58.5716666666667</v>
      </c>
    </row>
    <row r="56" spans="1:32">
      <c r="A56" s="18" t="s">
        <v>6</v>
      </c>
      <c r="B56" s="18" t="s">
        <v>41</v>
      </c>
      <c r="C56" s="18"/>
      <c r="D56" s="19">
        <f>SUMIFS(德育素质!H:H,德育素质!B:B,B56,德育素质!D:D,"=基本评定分")</f>
        <v>5.28</v>
      </c>
      <c r="E56" s="19">
        <f>MIN(2,SUMIFS(德育素质!H:H,德育素质!A:A,A56,德育素质!D:D,"=集体评定等级分",德育素质!E:E,"=班级考评等级")+SUMIFS(德育素质!H:H,德育素质!B:B,B56,德育素质!D:D,"=集体评定等级分"))</f>
        <v>0</v>
      </c>
      <c r="F56" s="19">
        <f>MIN(2,SUMIFS(德育素质!H:H,德育素质!B:B,B56,德育素质!D:D,"=社会责任记实分"))</f>
        <v>0</v>
      </c>
      <c r="G56" s="19">
        <f>SUMIFS(德育素质!H:H,德育素质!B:B,B56,德育素质!D:D,"=违纪违规扣分")</f>
        <v>0</v>
      </c>
      <c r="H56" s="19">
        <f>SUMIFS(德育素质!H:H,德育素质!B:B,B56,德育素质!D:D,"=荣誉称号加分")</f>
        <v>0</v>
      </c>
      <c r="I56" s="19">
        <f t="shared" si="9"/>
        <v>0</v>
      </c>
      <c r="J56" s="19">
        <f t="shared" si="10"/>
        <v>5.28</v>
      </c>
      <c r="K56" s="19">
        <f>(VLOOKUP(B56,智育素质!B:D,3,0)*10+50)*0.6</f>
        <v>48.228</v>
      </c>
      <c r="L56" s="19">
        <f>SUMIFS(体育素质!J:J,体育素质!B:B,B56,体育素质!D:D,"=体育课程成绩",体育素质!E:E,"=体育成绩")/40</f>
        <v>4.135</v>
      </c>
      <c r="M56" s="19">
        <f>SUMIFS(体育素质!L:L,体育素质!B:B,B56,体育素质!D:D,"=校内外体育竞赛")</f>
        <v>0</v>
      </c>
      <c r="N56" s="19">
        <f>SUMIFS(体育素质!L:L,体育素质!B:B,B56,体育素质!D:D,"=校内外体育活动",体育素质!E:E,"=早锻炼")</f>
        <v>0</v>
      </c>
      <c r="O56" s="19">
        <f>SUMIFS(体育素质!L:L,体育素质!B:B,B56,体育素质!D:D,"=校内外体育活动",体育素质!E:E,"=校园跑")</f>
        <v>1</v>
      </c>
      <c r="P56" s="19">
        <f t="shared" si="11"/>
        <v>1</v>
      </c>
      <c r="Q56" s="19">
        <f t="shared" si="12"/>
        <v>5.135</v>
      </c>
      <c r="R56" s="19">
        <f>MIN(0.5,SUMIFS(美育素质!L:L,美育素质!B:B,B56,美育素质!D:D,"=文化艺术实践"))</f>
        <v>0</v>
      </c>
      <c r="S56" s="19">
        <f>SUMIFS(美育素质!L:L,美育素质!B:B,B56,美育素质!D:D,"=校内外文化艺术竞赛")</f>
        <v>0</v>
      </c>
      <c r="T56" s="19">
        <f t="shared" si="13"/>
        <v>0</v>
      </c>
      <c r="U56" s="19">
        <f>MAX(0,SUMIFS(劳育素质!K:K,劳育素质!B:B,B56,劳育素质!D:D,"=劳动日常考核基础分")+SUMIFS(劳育素质!K:K,劳育素质!B:B,B56,劳育素质!D:D,"=活动与卫生加减分"))</f>
        <v>1.5292</v>
      </c>
      <c r="V56" s="19">
        <f>SUMIFS(劳育素质!K:K,劳育素质!B:B,B56,劳育素质!D:D,"=志愿服务",劳育素质!F:F,"=A类+B类")</f>
        <v>0</v>
      </c>
      <c r="W56" s="19">
        <f>SUMIFS(劳育素质!K:K,劳育素质!B:B,B56,劳育素质!D:D,"=志愿服务",劳育素质!F:F,"=C类")</f>
        <v>0</v>
      </c>
      <c r="X56" s="19">
        <f t="shared" si="14"/>
        <v>0</v>
      </c>
      <c r="Y56" s="19">
        <f>SUMIFS(劳育素质!K:K,劳育素质!B:B,B56,劳育素质!D:D,"=实习实训")</f>
        <v>0</v>
      </c>
      <c r="Z56" s="19">
        <f t="shared" si="15"/>
        <v>1.5292</v>
      </c>
      <c r="AA56" s="19">
        <f>SUMIFS(创新与实践素质!L:L,创新与实践素质!B:B,B56,创新与实践素质!D:D,"=创新创业素质")</f>
        <v>0</v>
      </c>
      <c r="AB56" s="19">
        <f>SUMIFS(创新与实践素质!L:L,创新与实践素质!B:B,B56,创新与实践素质!D:D,"=水平考试")</f>
        <v>0</v>
      </c>
      <c r="AC56" s="19">
        <f>SUMIFS(创新与实践素质!L:L,创新与实践素质!B:B,B56,创新与实践素质!D:D,"=社会实践")</f>
        <v>0</v>
      </c>
      <c r="AD56" s="19">
        <f>_xlfn.MAXIFS(创新与实践素质!L:L,创新与实践素质!B:B,B56,创新与实践素质!D:D,"=社会工作能力（工作表现）",创新与实践素质!G:G,"=上学期")+_xlfn.MAXIFS(创新与实践素质!L:L,创新与实践素质!B:B,B56,创新与实践素质!D:D,"=社会工作能力（工作表现）",创新与实践素质!G:G,"=下学期")</f>
        <v>0</v>
      </c>
      <c r="AE56" s="19">
        <f t="shared" si="16"/>
        <v>0</v>
      </c>
      <c r="AF56" s="19">
        <f t="shared" si="17"/>
        <v>60.1722</v>
      </c>
    </row>
    <row r="57" spans="1:32">
      <c r="A57" s="18" t="s">
        <v>6</v>
      </c>
      <c r="B57" s="18" t="s">
        <v>50</v>
      </c>
      <c r="C57" s="18"/>
      <c r="D57" s="19">
        <f>SUMIFS(德育素质!H:H,德育素质!B:B,B57,德育素质!D:D,"=基本评定分")</f>
        <v>5.28</v>
      </c>
      <c r="E57" s="19">
        <f>MIN(2,SUMIFS(德育素质!H:H,德育素质!A:A,A57,德育素质!D:D,"=集体评定等级分",德育素质!E:E,"=班级考评等级")+SUMIFS(德育素质!H:H,德育素质!B:B,B57,德育素质!D:D,"=集体评定等级分"))</f>
        <v>0</v>
      </c>
      <c r="F57" s="19">
        <f>MIN(2,SUMIFS(德育素质!H:H,德育素质!B:B,B57,德育素质!D:D,"=社会责任记实分"))</f>
        <v>0</v>
      </c>
      <c r="G57" s="19">
        <f>SUMIFS(德育素质!H:H,德育素质!B:B,B57,德育素质!D:D,"=违纪违规扣分")</f>
        <v>0</v>
      </c>
      <c r="H57" s="19">
        <f>SUMIFS(德育素质!H:H,德育素质!B:B,B57,德育素质!D:D,"=荣誉称号加分")</f>
        <v>0</v>
      </c>
      <c r="I57" s="19">
        <f t="shared" si="9"/>
        <v>0</v>
      </c>
      <c r="J57" s="19">
        <f t="shared" si="10"/>
        <v>5.28</v>
      </c>
      <c r="K57" s="19">
        <f>(VLOOKUP(B57,智育素质!B:D,3,0)*10+50)*0.6</f>
        <v>46.578</v>
      </c>
      <c r="L57" s="19">
        <f>SUMIFS(体育素质!J:J,体育素质!B:B,B57,体育素质!D:D,"=体育课程成绩",体育素质!E:E,"=体育成绩")/40</f>
        <v>3.705</v>
      </c>
      <c r="M57" s="19">
        <f>SUMIFS(体育素质!L:L,体育素质!B:B,B57,体育素质!D:D,"=校内外体育竞赛")</f>
        <v>0</v>
      </c>
      <c r="N57" s="19">
        <f>SUMIFS(体育素质!L:L,体育素质!B:B,B57,体育素质!D:D,"=校内外体育活动",体育素质!E:E,"=早锻炼")</f>
        <v>0</v>
      </c>
      <c r="O57" s="19">
        <f>SUMIFS(体育素质!L:L,体育素质!B:B,B57,体育素质!D:D,"=校内外体育活动",体育素质!E:E,"=校园跑")</f>
        <v>0.694166666666667</v>
      </c>
      <c r="P57" s="19">
        <f t="shared" si="11"/>
        <v>0.694166666666667</v>
      </c>
      <c r="Q57" s="19">
        <f t="shared" si="12"/>
        <v>4.39916666666667</v>
      </c>
      <c r="R57" s="19">
        <f>MIN(0.5,SUMIFS(美育素质!L:L,美育素质!B:B,B57,美育素质!D:D,"=文化艺术实践"))</f>
        <v>0</v>
      </c>
      <c r="S57" s="19">
        <f>SUMIFS(美育素质!L:L,美育素质!B:B,B57,美育素质!D:D,"=校内外文化艺术竞赛")</f>
        <v>0</v>
      </c>
      <c r="T57" s="19">
        <f t="shared" si="13"/>
        <v>0</v>
      </c>
      <c r="U57" s="19">
        <f>MAX(0,SUMIFS(劳育素质!K:K,劳育素质!B:B,B57,劳育素质!D:D,"=劳动日常考核基础分")+SUMIFS(劳育素质!K:K,劳育素质!B:B,B57,劳育素质!D:D,"=活动与卫生加减分"))</f>
        <v>1.51683333333333</v>
      </c>
      <c r="V57" s="19">
        <f>SUMIFS(劳育素质!K:K,劳育素质!B:B,B57,劳育素质!D:D,"=志愿服务",劳育素质!F:F,"=A类+B类")</f>
        <v>0</v>
      </c>
      <c r="W57" s="19">
        <f>SUMIFS(劳育素质!K:K,劳育素质!B:B,B57,劳育素质!D:D,"=志愿服务",劳育素质!F:F,"=C类")</f>
        <v>0</v>
      </c>
      <c r="X57" s="19">
        <f t="shared" si="14"/>
        <v>0</v>
      </c>
      <c r="Y57" s="19">
        <f>SUMIFS(劳育素质!K:K,劳育素质!B:B,B57,劳育素质!D:D,"=实习实训")</f>
        <v>0</v>
      </c>
      <c r="Z57" s="19">
        <f t="shared" si="15"/>
        <v>1.51683333333333</v>
      </c>
      <c r="AA57" s="19">
        <f>SUMIFS(创新与实践素质!L:L,创新与实践素质!B:B,B57,创新与实践素质!D:D,"=创新创业素质")</f>
        <v>0</v>
      </c>
      <c r="AB57" s="19">
        <f>SUMIFS(创新与实践素质!L:L,创新与实践素质!B:B,B57,创新与实践素质!D:D,"=水平考试")</f>
        <v>0</v>
      </c>
      <c r="AC57" s="19">
        <f>SUMIFS(创新与实践素质!L:L,创新与实践素质!B:B,B57,创新与实践素质!D:D,"=社会实践")</f>
        <v>0</v>
      </c>
      <c r="AD57" s="19">
        <f>_xlfn.MAXIFS(创新与实践素质!L:L,创新与实践素质!B:B,B57,创新与实践素质!D:D,"=社会工作能力（工作表现）",创新与实践素质!G:G,"=上学期")+_xlfn.MAXIFS(创新与实践素质!L:L,创新与实践素质!B:B,B57,创新与实践素质!D:D,"=社会工作能力（工作表现）",创新与实践素质!G:G,"=下学期")</f>
        <v>0</v>
      </c>
      <c r="AE57" s="19">
        <f t="shared" si="16"/>
        <v>0</v>
      </c>
      <c r="AF57" s="19">
        <f t="shared" si="17"/>
        <v>57.774</v>
      </c>
    </row>
    <row r="58" spans="1:32">
      <c r="A58" s="18" t="s">
        <v>6</v>
      </c>
      <c r="B58" s="18" t="s">
        <v>39</v>
      </c>
      <c r="C58" s="18"/>
      <c r="D58" s="19">
        <f>SUMIFS(德育素质!H:H,德育素质!B:B,B58,德育素质!D:D,"=基本评定分")</f>
        <v>5.28</v>
      </c>
      <c r="E58" s="19">
        <f>MIN(2,SUMIFS(德育素质!H:H,德育素质!A:A,A58,德育素质!D:D,"=集体评定等级分",德育素质!E:E,"=班级考评等级")+SUMIFS(德育素质!H:H,德育素质!B:B,B58,德育素质!D:D,"=集体评定等级分"))</f>
        <v>0</v>
      </c>
      <c r="F58" s="19">
        <f>MIN(2,SUMIFS(德育素质!H:H,德育素质!B:B,B58,德育素质!D:D,"=社会责任记实分"))</f>
        <v>0</v>
      </c>
      <c r="G58" s="19">
        <f>SUMIFS(德育素质!H:H,德育素质!B:B,B58,德育素质!D:D,"=违纪违规扣分")</f>
        <v>0</v>
      </c>
      <c r="H58" s="19">
        <f>SUMIFS(德育素质!H:H,德育素质!B:B,B58,德育素质!D:D,"=荣誉称号加分")</f>
        <v>0</v>
      </c>
      <c r="I58" s="19">
        <f t="shared" si="9"/>
        <v>0</v>
      </c>
      <c r="J58" s="19">
        <f t="shared" si="10"/>
        <v>5.28</v>
      </c>
      <c r="K58" s="19">
        <f>(VLOOKUP(B58,智育素质!B:D,3,0)*10+50)*0.6</f>
        <v>49.896</v>
      </c>
      <c r="L58" s="19">
        <f>SUMIFS(体育素质!J:J,体育素质!B:B,B58,体育素质!D:D,"=体育课程成绩",体育素质!E:E,"=体育成绩")/40</f>
        <v>3.23</v>
      </c>
      <c r="M58" s="19">
        <f>SUMIFS(体育素质!L:L,体育素质!B:B,B58,体育素质!D:D,"=校内外体育竞赛")</f>
        <v>0</v>
      </c>
      <c r="N58" s="19">
        <f>SUMIFS(体育素质!L:L,体育素质!B:B,B58,体育素质!D:D,"=校内外体育活动",体育素质!E:E,"=早锻炼")</f>
        <v>0</v>
      </c>
      <c r="O58" s="19">
        <f>SUMIFS(体育素质!L:L,体育素质!B:B,B58,体育素质!D:D,"=校内外体育活动",体育素质!E:E,"=校园跑")</f>
        <v>0.62546875</v>
      </c>
      <c r="P58" s="19">
        <f t="shared" si="11"/>
        <v>0.62546875</v>
      </c>
      <c r="Q58" s="19">
        <f t="shared" si="12"/>
        <v>3.85546875</v>
      </c>
      <c r="R58" s="19">
        <f>MIN(0.5,SUMIFS(美育素质!L:L,美育素质!B:B,B58,美育素质!D:D,"=文化艺术实践"))</f>
        <v>0</v>
      </c>
      <c r="S58" s="19">
        <f>SUMIFS(美育素质!L:L,美育素质!B:B,B58,美育素质!D:D,"=校内外文化艺术竞赛")</f>
        <v>0</v>
      </c>
      <c r="T58" s="19">
        <f t="shared" si="13"/>
        <v>0</v>
      </c>
      <c r="U58" s="19">
        <f>MAX(0,SUMIFS(劳育素质!K:K,劳育素质!B:B,B58,劳育素质!D:D,"=劳动日常考核基础分")+SUMIFS(劳育素质!K:K,劳育素质!B:B,B58,劳育素质!D:D,"=活动与卫生加减分"))</f>
        <v>1.46053333333333</v>
      </c>
      <c r="V58" s="19">
        <f>SUMIFS(劳育素质!K:K,劳育素质!B:B,B58,劳育素质!D:D,"=志愿服务",劳育素质!F:F,"=A类+B类")</f>
        <v>0</v>
      </c>
      <c r="W58" s="19">
        <f>SUMIFS(劳育素质!K:K,劳育素质!B:B,B58,劳育素质!D:D,"=志愿服务",劳育素质!F:F,"=C类")</f>
        <v>0</v>
      </c>
      <c r="X58" s="19">
        <f t="shared" si="14"/>
        <v>0</v>
      </c>
      <c r="Y58" s="19">
        <f>SUMIFS(劳育素质!K:K,劳育素质!B:B,B58,劳育素质!D:D,"=实习实训")</f>
        <v>0</v>
      </c>
      <c r="Z58" s="19">
        <f t="shared" si="15"/>
        <v>1.46053333333333</v>
      </c>
      <c r="AA58" s="19">
        <f>SUMIFS(创新与实践素质!L:L,创新与实践素质!B:B,B58,创新与实践素质!D:D,"=创新创业素质")</f>
        <v>0</v>
      </c>
      <c r="AB58" s="19">
        <f>SUMIFS(创新与实践素质!L:L,创新与实践素质!B:B,B58,创新与实践素质!D:D,"=水平考试")</f>
        <v>0</v>
      </c>
      <c r="AC58" s="19">
        <f>SUMIFS(创新与实践素质!L:L,创新与实践素质!B:B,B58,创新与实践素质!D:D,"=社会实践")</f>
        <v>0</v>
      </c>
      <c r="AD58" s="19">
        <f>_xlfn.MAXIFS(创新与实践素质!L:L,创新与实践素质!B:B,B58,创新与实践素质!D:D,"=社会工作能力（工作表现）",创新与实践素质!G:G,"=上学期")+_xlfn.MAXIFS(创新与实践素质!L:L,创新与实践素质!B:B,B58,创新与实践素质!D:D,"=社会工作能力（工作表现）",创新与实践素质!G:G,"=下学期")</f>
        <v>0</v>
      </c>
      <c r="AE58" s="19">
        <f t="shared" si="16"/>
        <v>0</v>
      </c>
      <c r="AF58" s="19">
        <f t="shared" si="17"/>
        <v>60.4920020833333</v>
      </c>
    </row>
    <row r="59" spans="1:32">
      <c r="A59" s="18" t="s">
        <v>6</v>
      </c>
      <c r="B59" s="18" t="s">
        <v>51</v>
      </c>
      <c r="C59" s="18"/>
      <c r="D59" s="19">
        <f>SUMIFS(德育素质!H:H,德育素质!B:B,B59,德育素质!D:D,"=基本评定分")</f>
        <v>5.28</v>
      </c>
      <c r="E59" s="19">
        <f>MIN(2,SUMIFS(德育素质!H:H,德育素质!A:A,A59,德育素质!D:D,"=集体评定等级分",德育素质!E:E,"=班级考评等级")+SUMIFS(德育素质!H:H,德育素质!B:B,B59,德育素质!D:D,"=集体评定等级分"))</f>
        <v>0</v>
      </c>
      <c r="F59" s="19">
        <f>MIN(2,SUMIFS(德育素质!H:H,德育素质!B:B,B59,德育素质!D:D,"=社会责任记实分"))</f>
        <v>0</v>
      </c>
      <c r="G59" s="19">
        <f>SUMIFS(德育素质!H:H,德育素质!B:B,B59,德育素质!D:D,"=违纪违规扣分")</f>
        <v>0</v>
      </c>
      <c r="H59" s="19">
        <f>SUMIFS(德育素质!H:H,德育素质!B:B,B59,德育素质!D:D,"=荣誉称号加分")</f>
        <v>0</v>
      </c>
      <c r="I59" s="19">
        <f t="shared" si="9"/>
        <v>0</v>
      </c>
      <c r="J59" s="19">
        <f t="shared" si="10"/>
        <v>5.28</v>
      </c>
      <c r="K59" s="19">
        <f>(VLOOKUP(B59,智育素质!B:D,3,0)*10+50)*0.6</f>
        <v>45.642</v>
      </c>
      <c r="L59" s="19">
        <f>SUMIFS(体育素质!J:J,体育素质!B:B,B59,体育素质!D:D,"=体育课程成绩",体育素质!E:E,"=体育成绩")/40</f>
        <v>3.9</v>
      </c>
      <c r="M59" s="19">
        <f>SUMIFS(体育素质!L:L,体育素质!B:B,B59,体育素质!D:D,"=校内外体育竞赛")</f>
        <v>0</v>
      </c>
      <c r="N59" s="19">
        <f>SUMIFS(体育素质!L:L,体育素质!B:B,B59,体育素质!D:D,"=校内外体育活动",体育素质!E:E,"=早锻炼")</f>
        <v>0</v>
      </c>
      <c r="O59" s="19">
        <f>SUMIFS(体育素质!L:L,体育素质!B:B,B59,体育素质!D:D,"=校内外体育活动",体育素质!E:E,"=校园跑")</f>
        <v>0</v>
      </c>
      <c r="P59" s="19">
        <f t="shared" si="11"/>
        <v>0</v>
      </c>
      <c r="Q59" s="19">
        <f t="shared" si="12"/>
        <v>3.9</v>
      </c>
      <c r="R59" s="19">
        <f>MIN(0.5,SUMIFS(美育素质!L:L,美育素质!B:B,B59,美育素质!D:D,"=文化艺术实践"))</f>
        <v>0</v>
      </c>
      <c r="S59" s="19">
        <f>SUMIFS(美育素质!L:L,美育素质!B:B,B59,美育素质!D:D,"=校内外文化艺术竞赛")</f>
        <v>0</v>
      </c>
      <c r="T59" s="19">
        <f t="shared" si="13"/>
        <v>0</v>
      </c>
      <c r="U59" s="19">
        <f>MAX(0,SUMIFS(劳育素质!K:K,劳育素质!B:B,B59,劳育素质!D:D,"=劳动日常考核基础分")+SUMIFS(劳育素质!K:K,劳育素质!B:B,B59,劳育素质!D:D,"=活动与卫生加减分"))</f>
        <v>1.57716666666667</v>
      </c>
      <c r="V59" s="19">
        <f>SUMIFS(劳育素质!K:K,劳育素质!B:B,B59,劳育素质!D:D,"=志愿服务",劳育素质!F:F,"=A类+B类")</f>
        <v>0</v>
      </c>
      <c r="W59" s="19">
        <f>SUMIFS(劳育素质!K:K,劳育素质!B:B,B59,劳育素质!D:D,"=志愿服务",劳育素质!F:F,"=C类")</f>
        <v>0</v>
      </c>
      <c r="X59" s="19">
        <f t="shared" si="14"/>
        <v>0</v>
      </c>
      <c r="Y59" s="19">
        <f>SUMIFS(劳育素质!K:K,劳育素质!B:B,B59,劳育素质!D:D,"=实习实训")</f>
        <v>0</v>
      </c>
      <c r="Z59" s="19">
        <f t="shared" si="15"/>
        <v>1.57716666666667</v>
      </c>
      <c r="AA59" s="19">
        <f>SUMIFS(创新与实践素质!L:L,创新与实践素质!B:B,B59,创新与实践素质!D:D,"=创新创业素质")</f>
        <v>0</v>
      </c>
      <c r="AB59" s="19">
        <f>SUMIFS(创新与实践素质!L:L,创新与实践素质!B:B,B59,创新与实践素质!D:D,"=水平考试")</f>
        <v>0</v>
      </c>
      <c r="AC59" s="19">
        <f>SUMIFS(创新与实践素质!L:L,创新与实践素质!B:B,B59,创新与实践素质!D:D,"=社会实践")</f>
        <v>0</v>
      </c>
      <c r="AD59" s="19">
        <f>_xlfn.MAXIFS(创新与实践素质!L:L,创新与实践素质!B:B,B59,创新与实践素质!D:D,"=社会工作能力（工作表现）",创新与实践素质!G:G,"=上学期")+_xlfn.MAXIFS(创新与实践素质!L:L,创新与实践素质!B:B,B59,创新与实践素质!D:D,"=社会工作能力（工作表现）",创新与实践素质!G:G,"=下学期")</f>
        <v>0</v>
      </c>
      <c r="AE59" s="19">
        <f t="shared" si="16"/>
        <v>0</v>
      </c>
      <c r="AF59" s="19">
        <f t="shared" si="17"/>
        <v>56.3991666666667</v>
      </c>
    </row>
    <row r="60" spans="1:32">
      <c r="A60" s="18" t="s">
        <v>6</v>
      </c>
      <c r="B60" s="18" t="s">
        <v>54</v>
      </c>
      <c r="C60" s="18"/>
      <c r="D60" s="19">
        <f>SUMIFS(德育素质!H:H,德育素质!B:B,B60,德育素质!D:D,"=基本评定分")</f>
        <v>5.28</v>
      </c>
      <c r="E60" s="19">
        <f>MIN(2,SUMIFS(德育素质!H:H,德育素质!A:A,A60,德育素质!D:D,"=集体评定等级分",德育素质!E:E,"=班级考评等级")+SUMIFS(德育素质!H:H,德育素质!B:B,B60,德育素质!D:D,"=集体评定等级分"))</f>
        <v>0</v>
      </c>
      <c r="F60" s="19">
        <f>MIN(2,SUMIFS(德育素质!H:H,德育素质!B:B,B60,德育素质!D:D,"=社会责任记实分"))</f>
        <v>0</v>
      </c>
      <c r="G60" s="19">
        <f>SUMIFS(德育素质!H:H,德育素质!B:B,B60,德育素质!D:D,"=违纪违规扣分")</f>
        <v>0</v>
      </c>
      <c r="H60" s="19">
        <f>SUMIFS(德育素质!H:H,德育素质!B:B,B60,德育素质!D:D,"=荣誉称号加分")</f>
        <v>0</v>
      </c>
      <c r="I60" s="19">
        <f t="shared" si="9"/>
        <v>0</v>
      </c>
      <c r="J60" s="19">
        <f t="shared" si="10"/>
        <v>5.28</v>
      </c>
      <c r="K60" s="19">
        <f>(VLOOKUP(B60,智育素质!B:D,3,0)*10+50)*0.6</f>
        <v>47.862</v>
      </c>
      <c r="L60" s="19">
        <f>SUMIFS(体育素质!J:J,体育素质!B:B,B60,体育素质!D:D,"=体育课程成绩",体育素质!E:E,"=体育成绩")/40</f>
        <v>4.08</v>
      </c>
      <c r="M60" s="19">
        <f>SUMIFS(体育素质!L:L,体育素质!B:B,B60,体育素质!D:D,"=校内外体育竞赛")</f>
        <v>0</v>
      </c>
      <c r="N60" s="19">
        <f>SUMIFS(体育素质!L:L,体育素质!B:B,B60,体育素质!D:D,"=校内外体育活动",体育素质!E:E,"=早锻炼")</f>
        <v>0</v>
      </c>
      <c r="O60" s="19">
        <f>SUMIFS(体育素质!L:L,体育素质!B:B,B60,体育素质!D:D,"=校内外体育活动",体育素质!E:E,"=校园跑")</f>
        <v>1</v>
      </c>
      <c r="P60" s="19">
        <f t="shared" si="11"/>
        <v>1</v>
      </c>
      <c r="Q60" s="19">
        <f t="shared" si="12"/>
        <v>5.08</v>
      </c>
      <c r="R60" s="19">
        <f>MIN(0.5,SUMIFS(美育素质!L:L,美育素质!B:B,B60,美育素质!D:D,"=文化艺术实践"))</f>
        <v>0</v>
      </c>
      <c r="S60" s="19">
        <f>SUMIFS(美育素质!L:L,美育素质!B:B,B60,美育素质!D:D,"=校内外文化艺术竞赛")</f>
        <v>0</v>
      </c>
      <c r="T60" s="19">
        <f t="shared" si="13"/>
        <v>0</v>
      </c>
      <c r="U60" s="19">
        <f>MAX(0,SUMIFS(劳育素质!K:K,劳育素质!B:B,B60,劳育素质!D:D,"=劳动日常考核基础分")+SUMIFS(劳育素质!K:K,劳育素质!B:B,B60,劳育素质!D:D,"=活动与卫生加减分"))</f>
        <v>1.54046666666667</v>
      </c>
      <c r="V60" s="19">
        <f>SUMIFS(劳育素质!K:K,劳育素质!B:B,B60,劳育素质!D:D,"=志愿服务",劳育素质!F:F,"=A类+B类")</f>
        <v>0</v>
      </c>
      <c r="W60" s="19">
        <f>SUMIFS(劳育素质!K:K,劳育素质!B:B,B60,劳育素质!D:D,"=志愿服务",劳育素质!F:F,"=C类")</f>
        <v>0</v>
      </c>
      <c r="X60" s="19">
        <f t="shared" si="14"/>
        <v>0</v>
      </c>
      <c r="Y60" s="19">
        <f>SUMIFS(劳育素质!K:K,劳育素质!B:B,B60,劳育素质!D:D,"=实习实训")</f>
        <v>0</v>
      </c>
      <c r="Z60" s="19">
        <f t="shared" si="15"/>
        <v>1.54046666666667</v>
      </c>
      <c r="AA60" s="19">
        <f>SUMIFS(创新与实践素质!L:L,创新与实践素质!B:B,B60,创新与实践素质!D:D,"=创新创业素质")</f>
        <v>0</v>
      </c>
      <c r="AB60" s="19">
        <f>SUMIFS(创新与实践素质!L:L,创新与实践素质!B:B,B60,创新与实践素质!D:D,"=水平考试")</f>
        <v>0</v>
      </c>
      <c r="AC60" s="19">
        <f>SUMIFS(创新与实践素质!L:L,创新与实践素质!B:B,B60,创新与实践素质!D:D,"=社会实践")</f>
        <v>0</v>
      </c>
      <c r="AD60" s="19">
        <f>_xlfn.MAXIFS(创新与实践素质!L:L,创新与实践素质!B:B,B60,创新与实践素质!D:D,"=社会工作能力（工作表现）",创新与实践素质!G:G,"=上学期")+_xlfn.MAXIFS(创新与实践素质!L:L,创新与实践素质!B:B,B60,创新与实践素质!D:D,"=社会工作能力（工作表现）",创新与实践素质!G:G,"=下学期")</f>
        <v>0</v>
      </c>
      <c r="AE60" s="19">
        <f t="shared" si="16"/>
        <v>0</v>
      </c>
      <c r="AF60" s="19">
        <f t="shared" si="17"/>
        <v>59.7624666666667</v>
      </c>
    </row>
  </sheetData>
  <mergeCells count="28">
    <mergeCell ref="D1:J1"/>
    <mergeCell ref="L1:Q1"/>
    <mergeCell ref="R1:T1"/>
    <mergeCell ref="U1:Z1"/>
    <mergeCell ref="AA1:AE1"/>
    <mergeCell ref="E2:I2"/>
    <mergeCell ref="M2:P2"/>
    <mergeCell ref="V2:X2"/>
    <mergeCell ref="A1:A3"/>
    <mergeCell ref="B1:B3"/>
    <mergeCell ref="C1:C3"/>
    <mergeCell ref="D2:D3"/>
    <mergeCell ref="J2:J3"/>
    <mergeCell ref="K1:K3"/>
    <mergeCell ref="L2:L3"/>
    <mergeCell ref="Q2:Q3"/>
    <mergeCell ref="R2:R3"/>
    <mergeCell ref="S2:S3"/>
    <mergeCell ref="T2:T3"/>
    <mergeCell ref="U2:U3"/>
    <mergeCell ref="Y2:Y3"/>
    <mergeCell ref="Z2:Z3"/>
    <mergeCell ref="AA2:AA3"/>
    <mergeCell ref="AB2:AB3"/>
    <mergeCell ref="AC2:AC3"/>
    <mergeCell ref="AD2:AD3"/>
    <mergeCell ref="AE2:AE3"/>
    <mergeCell ref="AF1:AF3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7"/>
  <sheetViews>
    <sheetView workbookViewId="0">
      <selection activeCell="C1" sqref="C1"/>
    </sheetView>
  </sheetViews>
  <sheetFormatPr defaultColWidth="9.2037037037037" defaultRowHeight="14.4" outlineLevelCol="7"/>
  <cols>
    <col min="1" max="1" width="24.2685185185185" customWidth="1"/>
    <col min="2" max="2" width="19.0648148148148" customWidth="1"/>
    <col min="3" max="3" width="6" customWidth="1"/>
    <col min="4" max="4" width="30.1296296296296" customWidth="1"/>
    <col min="5" max="5" width="56.7314814814815" customWidth="1"/>
    <col min="6" max="6" width="6" customWidth="1"/>
    <col min="7" max="7" width="8.12962962962963" customWidth="1"/>
    <col min="8" max="8" width="6" customWidth="1"/>
  </cols>
  <sheetData>
    <row r="1" spans="1:8">
      <c r="A1" s="4" t="s">
        <v>0</v>
      </c>
      <c r="B1" s="4" t="s">
        <v>1</v>
      </c>
      <c r="C1" s="5" t="s">
        <v>2</v>
      </c>
      <c r="D1" s="4" t="s">
        <v>100</v>
      </c>
      <c r="E1" s="4" t="s">
        <v>101</v>
      </c>
      <c r="F1" s="4" t="s">
        <v>102</v>
      </c>
      <c r="G1" s="4" t="s">
        <v>103</v>
      </c>
      <c r="H1" s="4" t="s">
        <v>104</v>
      </c>
    </row>
    <row r="2" spans="1:8">
      <c r="A2" s="4" t="s">
        <v>9</v>
      </c>
      <c r="B2" s="4" t="s">
        <v>12</v>
      </c>
      <c r="C2" s="4"/>
      <c r="D2" s="4" t="s">
        <v>105</v>
      </c>
      <c r="E2" s="4"/>
      <c r="F2" s="4" t="s">
        <v>106</v>
      </c>
      <c r="G2" s="4" t="s">
        <v>107</v>
      </c>
      <c r="H2" s="6">
        <v>6</v>
      </c>
    </row>
    <row r="3" spans="1:8">
      <c r="A3" s="4" t="s">
        <v>9</v>
      </c>
      <c r="B3" s="4" t="s">
        <v>63</v>
      </c>
      <c r="C3" s="4"/>
      <c r="D3" s="4" t="s">
        <v>105</v>
      </c>
      <c r="E3" s="4"/>
      <c r="F3" s="4" t="s">
        <v>108</v>
      </c>
      <c r="G3" s="4" t="s">
        <v>107</v>
      </c>
      <c r="H3" s="6">
        <v>5.28</v>
      </c>
    </row>
    <row r="4" spans="1:8">
      <c r="A4" s="4" t="s">
        <v>9</v>
      </c>
      <c r="B4" s="4" t="s">
        <v>27</v>
      </c>
      <c r="C4" s="4"/>
      <c r="D4" s="4" t="s">
        <v>105</v>
      </c>
      <c r="E4" s="4"/>
      <c r="F4" s="4" t="s">
        <v>106</v>
      </c>
      <c r="G4" s="4" t="s">
        <v>107</v>
      </c>
      <c r="H4" s="6">
        <v>6</v>
      </c>
    </row>
    <row r="5" spans="1:8">
      <c r="A5" s="4" t="s">
        <v>9</v>
      </c>
      <c r="B5" s="4" t="s">
        <v>20</v>
      </c>
      <c r="C5" s="4"/>
      <c r="D5" s="4" t="s">
        <v>105</v>
      </c>
      <c r="E5" s="4"/>
      <c r="F5" s="4" t="s">
        <v>108</v>
      </c>
      <c r="G5" s="4" t="s">
        <v>107</v>
      </c>
      <c r="H5" s="6">
        <v>5.28</v>
      </c>
    </row>
    <row r="6" spans="1:8">
      <c r="A6" s="4" t="s">
        <v>9</v>
      </c>
      <c r="B6" s="4" t="s">
        <v>13</v>
      </c>
      <c r="C6" s="4"/>
      <c r="D6" s="4" t="s">
        <v>105</v>
      </c>
      <c r="E6" s="4"/>
      <c r="F6" s="4" t="s">
        <v>106</v>
      </c>
      <c r="G6" s="4" t="s">
        <v>107</v>
      </c>
      <c r="H6" s="6">
        <v>6</v>
      </c>
    </row>
    <row r="7" spans="1:8">
      <c r="A7" s="4" t="s">
        <v>9</v>
      </c>
      <c r="B7" s="4" t="s">
        <v>21</v>
      </c>
      <c r="C7" s="4"/>
      <c r="D7" s="4" t="s">
        <v>105</v>
      </c>
      <c r="E7" s="4"/>
      <c r="F7" s="4" t="s">
        <v>108</v>
      </c>
      <c r="G7" s="4" t="s">
        <v>107</v>
      </c>
      <c r="H7" s="6">
        <v>5.28</v>
      </c>
    </row>
    <row r="8" spans="1:8">
      <c r="A8" s="4" t="s">
        <v>9</v>
      </c>
      <c r="B8" s="4" t="s">
        <v>38</v>
      </c>
      <c r="C8" s="4"/>
      <c r="D8" s="4" t="s">
        <v>105</v>
      </c>
      <c r="E8" s="4"/>
      <c r="F8" s="4" t="s">
        <v>108</v>
      </c>
      <c r="G8" s="4" t="s">
        <v>107</v>
      </c>
      <c r="H8" s="6">
        <v>5.28</v>
      </c>
    </row>
    <row r="9" spans="1:8">
      <c r="A9" s="4" t="s">
        <v>9</v>
      </c>
      <c r="B9" s="4" t="s">
        <v>61</v>
      </c>
      <c r="C9" s="4"/>
      <c r="D9" s="4" t="s">
        <v>105</v>
      </c>
      <c r="E9" s="4"/>
      <c r="F9" s="4" t="s">
        <v>108</v>
      </c>
      <c r="G9" s="4" t="s">
        <v>107</v>
      </c>
      <c r="H9" s="6">
        <v>5.28</v>
      </c>
    </row>
    <row r="10" spans="1:8">
      <c r="A10" s="4" t="s">
        <v>9</v>
      </c>
      <c r="B10" s="4" t="s">
        <v>32</v>
      </c>
      <c r="C10" s="4"/>
      <c r="D10" s="4" t="s">
        <v>105</v>
      </c>
      <c r="E10" s="4"/>
      <c r="F10" s="4" t="s">
        <v>108</v>
      </c>
      <c r="G10" s="4" t="s">
        <v>107</v>
      </c>
      <c r="H10" s="6">
        <v>5.28</v>
      </c>
    </row>
    <row r="11" spans="1:8">
      <c r="A11" s="4" t="s">
        <v>9</v>
      </c>
      <c r="B11" s="4" t="s">
        <v>33</v>
      </c>
      <c r="C11" s="4"/>
      <c r="D11" s="4" t="s">
        <v>105</v>
      </c>
      <c r="E11" s="4"/>
      <c r="F11" s="4" t="s">
        <v>106</v>
      </c>
      <c r="G11" s="4" t="s">
        <v>107</v>
      </c>
      <c r="H11" s="6">
        <v>6</v>
      </c>
    </row>
    <row r="12" spans="1:8">
      <c r="A12" s="4" t="s">
        <v>9</v>
      </c>
      <c r="B12" s="4" t="s">
        <v>22</v>
      </c>
      <c r="C12" s="4"/>
      <c r="D12" s="4" t="s">
        <v>105</v>
      </c>
      <c r="E12" s="4"/>
      <c r="F12" s="4" t="s">
        <v>108</v>
      </c>
      <c r="G12" s="4" t="s">
        <v>107</v>
      </c>
      <c r="H12" s="6">
        <v>5.28</v>
      </c>
    </row>
    <row r="13" spans="1:8">
      <c r="A13" s="4" t="s">
        <v>9</v>
      </c>
      <c r="B13" s="4" t="s">
        <v>28</v>
      </c>
      <c r="C13" s="4"/>
      <c r="D13" s="4" t="s">
        <v>105</v>
      </c>
      <c r="E13" s="4"/>
      <c r="F13" s="4" t="s">
        <v>108</v>
      </c>
      <c r="G13" s="4" t="s">
        <v>107</v>
      </c>
      <c r="H13" s="6">
        <v>5.28</v>
      </c>
    </row>
    <row r="14" spans="1:8">
      <c r="A14" s="4" t="s">
        <v>9</v>
      </c>
      <c r="B14" s="4" t="s">
        <v>14</v>
      </c>
      <c r="C14" s="4"/>
      <c r="D14" s="4" t="s">
        <v>105</v>
      </c>
      <c r="E14" s="4"/>
      <c r="F14" s="4" t="s">
        <v>108</v>
      </c>
      <c r="G14" s="4" t="s">
        <v>107</v>
      </c>
      <c r="H14" s="6">
        <v>5.28</v>
      </c>
    </row>
    <row r="15" spans="1:8">
      <c r="A15" s="4" t="s">
        <v>9</v>
      </c>
      <c r="B15" s="4" t="s">
        <v>29</v>
      </c>
      <c r="C15" s="4"/>
      <c r="D15" s="4" t="s">
        <v>105</v>
      </c>
      <c r="E15" s="4"/>
      <c r="F15" s="4" t="s">
        <v>108</v>
      </c>
      <c r="G15" s="4" t="s">
        <v>107</v>
      </c>
      <c r="H15" s="6">
        <v>5.28</v>
      </c>
    </row>
    <row r="16" spans="1:8">
      <c r="A16" s="4" t="s">
        <v>9</v>
      </c>
      <c r="B16" s="4" t="s">
        <v>30</v>
      </c>
      <c r="C16" s="4"/>
      <c r="D16" s="4" t="s">
        <v>105</v>
      </c>
      <c r="E16" s="4"/>
      <c r="F16" s="4" t="s">
        <v>106</v>
      </c>
      <c r="G16" s="4" t="s">
        <v>107</v>
      </c>
      <c r="H16" s="6">
        <v>6</v>
      </c>
    </row>
    <row r="17" spans="1:8">
      <c r="A17" s="4" t="s">
        <v>9</v>
      </c>
      <c r="B17" s="4" t="s">
        <v>15</v>
      </c>
      <c r="C17" s="4"/>
      <c r="D17" s="4" t="s">
        <v>105</v>
      </c>
      <c r="E17" s="4"/>
      <c r="F17" s="4" t="s">
        <v>108</v>
      </c>
      <c r="G17" s="4" t="s">
        <v>107</v>
      </c>
      <c r="H17" s="6">
        <v>5.28</v>
      </c>
    </row>
    <row r="18" spans="1:8">
      <c r="A18" s="4" t="s">
        <v>9</v>
      </c>
      <c r="B18" s="4" t="s">
        <v>34</v>
      </c>
      <c r="C18" s="4"/>
      <c r="D18" s="4" t="s">
        <v>105</v>
      </c>
      <c r="E18" s="4"/>
      <c r="F18" s="4" t="s">
        <v>106</v>
      </c>
      <c r="G18" s="4" t="s">
        <v>107</v>
      </c>
      <c r="H18" s="6">
        <v>6</v>
      </c>
    </row>
    <row r="19" spans="1:8">
      <c r="A19" s="4" t="s">
        <v>9</v>
      </c>
      <c r="B19" s="4" t="s">
        <v>25</v>
      </c>
      <c r="C19" s="4"/>
      <c r="D19" s="4" t="s">
        <v>105</v>
      </c>
      <c r="E19" s="4"/>
      <c r="F19" s="4" t="s">
        <v>108</v>
      </c>
      <c r="G19" s="4" t="s">
        <v>107</v>
      </c>
      <c r="H19" s="6">
        <v>5.28</v>
      </c>
    </row>
    <row r="20" spans="1:8">
      <c r="A20" s="4" t="s">
        <v>9</v>
      </c>
      <c r="B20" s="4" t="s">
        <v>16</v>
      </c>
      <c r="C20" s="4"/>
      <c r="D20" s="4" t="s">
        <v>105</v>
      </c>
      <c r="E20" s="4"/>
      <c r="F20" s="4" t="s">
        <v>106</v>
      </c>
      <c r="G20" s="4" t="s">
        <v>107</v>
      </c>
      <c r="H20" s="6">
        <v>6</v>
      </c>
    </row>
    <row r="21" spans="1:8">
      <c r="A21" s="4" t="s">
        <v>9</v>
      </c>
      <c r="B21" s="4" t="s">
        <v>26</v>
      </c>
      <c r="C21" s="4"/>
      <c r="D21" s="4" t="s">
        <v>105</v>
      </c>
      <c r="E21" s="4"/>
      <c r="F21" s="4" t="s">
        <v>108</v>
      </c>
      <c r="G21" s="4" t="s">
        <v>107</v>
      </c>
      <c r="H21" s="6">
        <v>5.28</v>
      </c>
    </row>
    <row r="22" spans="1:8">
      <c r="A22" s="4" t="s">
        <v>9</v>
      </c>
      <c r="B22" s="4" t="s">
        <v>10</v>
      </c>
      <c r="C22" s="4"/>
      <c r="D22" s="4" t="s">
        <v>105</v>
      </c>
      <c r="E22" s="4"/>
      <c r="F22" s="4" t="s">
        <v>108</v>
      </c>
      <c r="G22" s="4" t="s">
        <v>107</v>
      </c>
      <c r="H22" s="6">
        <v>5.28</v>
      </c>
    </row>
    <row r="23" spans="1:8">
      <c r="A23" s="4" t="s">
        <v>9</v>
      </c>
      <c r="B23" s="4" t="s">
        <v>17</v>
      </c>
      <c r="C23" s="4"/>
      <c r="D23" s="4" t="s">
        <v>105</v>
      </c>
      <c r="E23" s="4"/>
      <c r="F23" s="4" t="s">
        <v>106</v>
      </c>
      <c r="G23" s="4" t="s">
        <v>107</v>
      </c>
      <c r="H23" s="6">
        <v>6</v>
      </c>
    </row>
    <row r="24" spans="1:8">
      <c r="A24" s="4" t="s">
        <v>9</v>
      </c>
      <c r="B24" s="4" t="s">
        <v>18</v>
      </c>
      <c r="C24" s="4"/>
      <c r="D24" s="4" t="s">
        <v>105</v>
      </c>
      <c r="E24" s="4"/>
      <c r="F24" s="4" t="s">
        <v>108</v>
      </c>
      <c r="G24" s="4" t="s">
        <v>107</v>
      </c>
      <c r="H24" s="6">
        <v>5.28</v>
      </c>
    </row>
    <row r="25" spans="1:8">
      <c r="A25" s="4" t="s">
        <v>9</v>
      </c>
      <c r="B25" s="4" t="s">
        <v>64</v>
      </c>
      <c r="C25" s="4"/>
      <c r="D25" s="4" t="s">
        <v>105</v>
      </c>
      <c r="E25" s="4"/>
      <c r="F25" s="4" t="s">
        <v>108</v>
      </c>
      <c r="G25" s="4" t="s">
        <v>107</v>
      </c>
      <c r="H25" s="6">
        <v>5.28</v>
      </c>
    </row>
    <row r="26" spans="1:8">
      <c r="A26" s="4" t="s">
        <v>9</v>
      </c>
      <c r="B26" s="4" t="s">
        <v>23</v>
      </c>
      <c r="C26" s="4"/>
      <c r="D26" s="4" t="s">
        <v>105</v>
      </c>
      <c r="E26" s="4"/>
      <c r="F26" s="4" t="s">
        <v>108</v>
      </c>
      <c r="G26" s="4" t="s">
        <v>107</v>
      </c>
      <c r="H26" s="6">
        <v>5.28</v>
      </c>
    </row>
    <row r="27" spans="1:8">
      <c r="A27" s="4" t="s">
        <v>9</v>
      </c>
      <c r="B27" s="4" t="s">
        <v>35</v>
      </c>
      <c r="C27" s="4"/>
      <c r="D27" s="4" t="s">
        <v>105</v>
      </c>
      <c r="E27" s="4"/>
      <c r="F27" s="4" t="s">
        <v>108</v>
      </c>
      <c r="G27" s="4" t="s">
        <v>107</v>
      </c>
      <c r="H27" s="6">
        <v>5.28</v>
      </c>
    </row>
    <row r="28" spans="1:8">
      <c r="A28" s="4" t="s">
        <v>9</v>
      </c>
      <c r="B28" s="4" t="s">
        <v>31</v>
      </c>
      <c r="C28" s="4"/>
      <c r="D28" s="4" t="s">
        <v>105</v>
      </c>
      <c r="E28" s="4"/>
      <c r="F28" s="4" t="s">
        <v>108</v>
      </c>
      <c r="G28" s="4" t="s">
        <v>107</v>
      </c>
      <c r="H28" s="6">
        <v>5.28</v>
      </c>
    </row>
    <row r="29" spans="1:8">
      <c r="A29" s="4" t="s">
        <v>9</v>
      </c>
      <c r="B29" s="4" t="s">
        <v>19</v>
      </c>
      <c r="C29" s="4"/>
      <c r="D29" s="4" t="s">
        <v>105</v>
      </c>
      <c r="E29" s="4"/>
      <c r="F29" s="4" t="s">
        <v>106</v>
      </c>
      <c r="G29" s="4" t="s">
        <v>107</v>
      </c>
      <c r="H29" s="6">
        <v>6</v>
      </c>
    </row>
    <row r="30" spans="1:8">
      <c r="A30" s="4" t="s">
        <v>9</v>
      </c>
      <c r="B30" s="4" t="s">
        <v>60</v>
      </c>
      <c r="C30" s="4"/>
      <c r="D30" s="4" t="s">
        <v>105</v>
      </c>
      <c r="E30" s="4"/>
      <c r="F30" s="4" t="s">
        <v>108</v>
      </c>
      <c r="G30" s="4" t="s">
        <v>107</v>
      </c>
      <c r="H30" s="6">
        <v>5.28</v>
      </c>
    </row>
    <row r="31" spans="1:8">
      <c r="A31" s="4" t="s">
        <v>9</v>
      </c>
      <c r="B31" s="4" t="s">
        <v>62</v>
      </c>
      <c r="C31" s="4"/>
      <c r="D31" s="4" t="s">
        <v>105</v>
      </c>
      <c r="E31" s="4"/>
      <c r="F31" s="4" t="s">
        <v>108</v>
      </c>
      <c r="G31" s="4" t="s">
        <v>107</v>
      </c>
      <c r="H31" s="6">
        <v>5.28</v>
      </c>
    </row>
    <row r="32" spans="1:8">
      <c r="A32" s="4" t="s">
        <v>9</v>
      </c>
      <c r="B32" s="4" t="s">
        <v>24</v>
      </c>
      <c r="C32" s="4"/>
      <c r="D32" s="4" t="s">
        <v>105</v>
      </c>
      <c r="E32" s="4"/>
      <c r="F32" s="4" t="s">
        <v>108</v>
      </c>
      <c r="G32" s="4" t="s">
        <v>107</v>
      </c>
      <c r="H32" s="6">
        <v>5.28</v>
      </c>
    </row>
    <row r="33" spans="1:8">
      <c r="A33" s="4" t="s">
        <v>6</v>
      </c>
      <c r="B33" s="4" t="s">
        <v>55</v>
      </c>
      <c r="C33" s="4"/>
      <c r="D33" s="4" t="s">
        <v>105</v>
      </c>
      <c r="E33" s="4"/>
      <c r="F33" s="4" t="s">
        <v>108</v>
      </c>
      <c r="G33" s="4" t="s">
        <v>107</v>
      </c>
      <c r="H33" s="6">
        <v>5.28</v>
      </c>
    </row>
    <row r="34" spans="1:8">
      <c r="A34" s="4" t="s">
        <v>6</v>
      </c>
      <c r="B34" s="4" t="s">
        <v>53</v>
      </c>
      <c r="C34" s="4"/>
      <c r="D34" s="4" t="s">
        <v>105</v>
      </c>
      <c r="E34" s="4"/>
      <c r="F34" s="4" t="s">
        <v>108</v>
      </c>
      <c r="G34" s="4" t="s">
        <v>107</v>
      </c>
      <c r="H34" s="6">
        <v>5.28</v>
      </c>
    </row>
    <row r="35" spans="1:8">
      <c r="A35" s="4" t="s">
        <v>6</v>
      </c>
      <c r="B35" s="4" t="s">
        <v>37</v>
      </c>
      <c r="C35" s="4"/>
      <c r="D35" s="4" t="s">
        <v>105</v>
      </c>
      <c r="E35" s="4"/>
      <c r="F35" s="4" t="s">
        <v>108</v>
      </c>
      <c r="G35" s="4" t="s">
        <v>107</v>
      </c>
      <c r="H35" s="6">
        <v>5.28</v>
      </c>
    </row>
    <row r="36" spans="1:8">
      <c r="A36" s="4" t="s">
        <v>6</v>
      </c>
      <c r="B36" s="4" t="s">
        <v>49</v>
      </c>
      <c r="C36" s="4"/>
      <c r="D36" s="4" t="s">
        <v>105</v>
      </c>
      <c r="E36" s="4"/>
      <c r="F36" s="4" t="s">
        <v>106</v>
      </c>
      <c r="G36" s="4" t="s">
        <v>107</v>
      </c>
      <c r="H36" s="6">
        <v>6</v>
      </c>
    </row>
    <row r="37" spans="1:8">
      <c r="A37" s="4" t="s">
        <v>6</v>
      </c>
      <c r="B37" s="31" t="s">
        <v>7</v>
      </c>
      <c r="C37" s="4"/>
      <c r="D37" s="4" t="s">
        <v>105</v>
      </c>
      <c r="E37" s="4"/>
      <c r="F37" s="4" t="s">
        <v>108</v>
      </c>
      <c r="G37" s="4" t="s">
        <v>107</v>
      </c>
      <c r="H37" s="6">
        <v>5.28</v>
      </c>
    </row>
    <row r="38" spans="1:8">
      <c r="A38" s="4" t="s">
        <v>6</v>
      </c>
      <c r="B38" s="4" t="s">
        <v>40</v>
      </c>
      <c r="C38" s="4"/>
      <c r="D38" s="4" t="s">
        <v>105</v>
      </c>
      <c r="E38" s="4"/>
      <c r="F38" s="4" t="s">
        <v>108</v>
      </c>
      <c r="G38" s="4" t="s">
        <v>107</v>
      </c>
      <c r="H38" s="6">
        <v>5.28</v>
      </c>
    </row>
    <row r="39" spans="1:8">
      <c r="A39" s="4" t="s">
        <v>6</v>
      </c>
      <c r="B39" s="4" t="s">
        <v>46</v>
      </c>
      <c r="C39" s="4"/>
      <c r="D39" s="4" t="s">
        <v>105</v>
      </c>
      <c r="E39" s="4"/>
      <c r="F39" s="4" t="s">
        <v>106</v>
      </c>
      <c r="G39" s="4" t="s">
        <v>107</v>
      </c>
      <c r="H39" s="6">
        <v>6</v>
      </c>
    </row>
    <row r="40" spans="1:8">
      <c r="A40" s="4" t="s">
        <v>6</v>
      </c>
      <c r="B40" s="4" t="s">
        <v>42</v>
      </c>
      <c r="C40" s="4"/>
      <c r="D40" s="4" t="s">
        <v>105</v>
      </c>
      <c r="E40" s="4"/>
      <c r="F40" s="4" t="s">
        <v>108</v>
      </c>
      <c r="G40" s="4" t="s">
        <v>107</v>
      </c>
      <c r="H40" s="6">
        <v>5.28</v>
      </c>
    </row>
    <row r="41" spans="1:8">
      <c r="A41" s="4" t="s">
        <v>6</v>
      </c>
      <c r="B41" s="4" t="s">
        <v>56</v>
      </c>
      <c r="C41" s="4"/>
      <c r="D41" s="4" t="s">
        <v>105</v>
      </c>
      <c r="E41" s="4"/>
      <c r="F41" s="4" t="s">
        <v>106</v>
      </c>
      <c r="G41" s="4" t="s">
        <v>107</v>
      </c>
      <c r="H41" s="6">
        <v>6</v>
      </c>
    </row>
    <row r="42" spans="1:8">
      <c r="A42" s="4" t="s">
        <v>6</v>
      </c>
      <c r="B42" s="31" t="s">
        <v>8</v>
      </c>
      <c r="C42" s="4"/>
      <c r="D42" s="4" t="s">
        <v>105</v>
      </c>
      <c r="E42" s="4"/>
      <c r="F42" s="4" t="s">
        <v>108</v>
      </c>
      <c r="G42" s="4" t="s">
        <v>107</v>
      </c>
      <c r="H42" s="6">
        <v>5.28</v>
      </c>
    </row>
    <row r="43" spans="1:8">
      <c r="A43" s="4" t="s">
        <v>6</v>
      </c>
      <c r="B43" s="4" t="s">
        <v>43</v>
      </c>
      <c r="C43" s="4"/>
      <c r="D43" s="4" t="s">
        <v>105</v>
      </c>
      <c r="E43" s="4"/>
      <c r="F43" s="4" t="s">
        <v>108</v>
      </c>
      <c r="G43" s="4" t="s">
        <v>107</v>
      </c>
      <c r="H43" s="6">
        <v>5.28</v>
      </c>
    </row>
    <row r="44" spans="1:8">
      <c r="A44" s="4" t="s">
        <v>6</v>
      </c>
      <c r="B44" s="31" t="s">
        <v>47</v>
      </c>
      <c r="C44" s="4"/>
      <c r="D44" s="4" t="s">
        <v>105</v>
      </c>
      <c r="E44" s="4"/>
      <c r="F44" s="4" t="s">
        <v>106</v>
      </c>
      <c r="G44" s="4" t="s">
        <v>107</v>
      </c>
      <c r="H44" s="6">
        <v>6</v>
      </c>
    </row>
    <row r="45" spans="1:8">
      <c r="A45" s="4" t="s">
        <v>6</v>
      </c>
      <c r="B45" s="4" t="s">
        <v>11</v>
      </c>
      <c r="C45" s="4"/>
      <c r="D45" s="4" t="s">
        <v>105</v>
      </c>
      <c r="E45" s="4"/>
      <c r="F45" s="4" t="s">
        <v>108</v>
      </c>
      <c r="G45" s="4" t="s">
        <v>107</v>
      </c>
      <c r="H45" s="6">
        <v>5.28</v>
      </c>
    </row>
    <row r="46" spans="1:8">
      <c r="A46" s="4" t="s">
        <v>6</v>
      </c>
      <c r="B46" s="4" t="s">
        <v>57</v>
      </c>
      <c r="C46" s="4"/>
      <c r="D46" s="4" t="s">
        <v>105</v>
      </c>
      <c r="E46" s="4"/>
      <c r="F46" s="4" t="s">
        <v>108</v>
      </c>
      <c r="G46" s="4" t="s">
        <v>107</v>
      </c>
      <c r="H46" s="6">
        <v>5.28</v>
      </c>
    </row>
    <row r="47" spans="1:8">
      <c r="A47" s="4" t="s">
        <v>6</v>
      </c>
      <c r="B47" s="4" t="s">
        <v>58</v>
      </c>
      <c r="C47" s="4"/>
      <c r="D47" s="4" t="s">
        <v>105</v>
      </c>
      <c r="E47" s="4"/>
      <c r="F47" s="4" t="s">
        <v>108</v>
      </c>
      <c r="G47" s="4" t="s">
        <v>107</v>
      </c>
      <c r="H47" s="6">
        <v>5.28</v>
      </c>
    </row>
    <row r="48" spans="1:8">
      <c r="A48" s="4" t="s">
        <v>6</v>
      </c>
      <c r="B48" s="4" t="s">
        <v>44</v>
      </c>
      <c r="C48" s="4"/>
      <c r="D48" s="4" t="s">
        <v>105</v>
      </c>
      <c r="E48" s="4"/>
      <c r="F48" s="4" t="s">
        <v>106</v>
      </c>
      <c r="G48" s="4" t="s">
        <v>107</v>
      </c>
      <c r="H48" s="6">
        <v>6</v>
      </c>
    </row>
    <row r="49" spans="1:8">
      <c r="A49" s="4" t="s">
        <v>6</v>
      </c>
      <c r="B49" s="4" t="s">
        <v>45</v>
      </c>
      <c r="C49" s="4"/>
      <c r="D49" s="4" t="s">
        <v>105</v>
      </c>
      <c r="E49" s="4"/>
      <c r="F49" s="4" t="s">
        <v>108</v>
      </c>
      <c r="G49" s="4" t="s">
        <v>107</v>
      </c>
      <c r="H49" s="6">
        <v>5.28</v>
      </c>
    </row>
    <row r="50" spans="1:8">
      <c r="A50" s="4" t="s">
        <v>6</v>
      </c>
      <c r="B50" s="4" t="s">
        <v>59</v>
      </c>
      <c r="C50" s="4"/>
      <c r="D50" s="4" t="s">
        <v>105</v>
      </c>
      <c r="E50" s="4"/>
      <c r="F50" s="4" t="s">
        <v>106</v>
      </c>
      <c r="G50" s="4" t="s">
        <v>107</v>
      </c>
      <c r="H50" s="6">
        <v>6</v>
      </c>
    </row>
    <row r="51" spans="1:8">
      <c r="A51" s="4" t="s">
        <v>6</v>
      </c>
      <c r="B51" s="4" t="s">
        <v>52</v>
      </c>
      <c r="C51" s="4"/>
      <c r="D51" s="4" t="s">
        <v>105</v>
      </c>
      <c r="E51" s="4"/>
      <c r="F51" s="4" t="s">
        <v>106</v>
      </c>
      <c r="G51" s="4" t="s">
        <v>107</v>
      </c>
      <c r="H51" s="6">
        <v>6</v>
      </c>
    </row>
    <row r="52" spans="1:8">
      <c r="A52" s="4" t="s">
        <v>6</v>
      </c>
      <c r="B52" s="4" t="s">
        <v>48</v>
      </c>
      <c r="C52" s="4"/>
      <c r="D52" s="4" t="s">
        <v>105</v>
      </c>
      <c r="E52" s="4"/>
      <c r="F52" s="4" t="s">
        <v>108</v>
      </c>
      <c r="G52" s="4" t="s">
        <v>107</v>
      </c>
      <c r="H52" s="6">
        <v>5.28</v>
      </c>
    </row>
    <row r="53" spans="1:8">
      <c r="A53" s="4" t="s">
        <v>6</v>
      </c>
      <c r="B53" s="4" t="s">
        <v>36</v>
      </c>
      <c r="C53" s="4"/>
      <c r="D53" s="4" t="s">
        <v>105</v>
      </c>
      <c r="E53" s="4"/>
      <c r="F53" s="4" t="s">
        <v>108</v>
      </c>
      <c r="G53" s="4" t="s">
        <v>107</v>
      </c>
      <c r="H53" s="6">
        <v>5.28</v>
      </c>
    </row>
    <row r="54" spans="1:8">
      <c r="A54" s="4" t="s">
        <v>6</v>
      </c>
      <c r="B54" s="4" t="s">
        <v>41</v>
      </c>
      <c r="C54" s="4"/>
      <c r="D54" s="4" t="s">
        <v>105</v>
      </c>
      <c r="E54" s="4"/>
      <c r="F54" s="4" t="s">
        <v>108</v>
      </c>
      <c r="G54" s="4" t="s">
        <v>107</v>
      </c>
      <c r="H54" s="6">
        <v>5.28</v>
      </c>
    </row>
    <row r="55" spans="1:8">
      <c r="A55" s="4" t="s">
        <v>6</v>
      </c>
      <c r="B55" s="4" t="s">
        <v>50</v>
      </c>
      <c r="C55" s="4"/>
      <c r="D55" s="4" t="s">
        <v>105</v>
      </c>
      <c r="E55" s="4"/>
      <c r="F55" s="4" t="s">
        <v>108</v>
      </c>
      <c r="G55" s="4" t="s">
        <v>107</v>
      </c>
      <c r="H55" s="6">
        <v>5.28</v>
      </c>
    </row>
    <row r="56" spans="1:8">
      <c r="A56" s="4" t="s">
        <v>6</v>
      </c>
      <c r="B56" s="4" t="s">
        <v>39</v>
      </c>
      <c r="C56" s="4"/>
      <c r="D56" s="4" t="s">
        <v>105</v>
      </c>
      <c r="E56" s="4"/>
      <c r="F56" s="4" t="s">
        <v>108</v>
      </c>
      <c r="G56" s="4" t="s">
        <v>107</v>
      </c>
      <c r="H56" s="6">
        <v>5.28</v>
      </c>
    </row>
    <row r="57" spans="1:8">
      <c r="A57" s="4" t="s">
        <v>6</v>
      </c>
      <c r="B57" s="4" t="s">
        <v>51</v>
      </c>
      <c r="C57" s="4"/>
      <c r="D57" s="4" t="s">
        <v>105</v>
      </c>
      <c r="E57" s="4"/>
      <c r="F57" s="4" t="s">
        <v>108</v>
      </c>
      <c r="G57" s="4" t="s">
        <v>107</v>
      </c>
      <c r="H57" s="6">
        <v>5.28</v>
      </c>
    </row>
    <row r="58" spans="1:8">
      <c r="A58" s="4" t="s">
        <v>6</v>
      </c>
      <c r="B58" s="4" t="s">
        <v>54</v>
      </c>
      <c r="C58" s="4"/>
      <c r="D58" s="4" t="s">
        <v>105</v>
      </c>
      <c r="E58" s="4"/>
      <c r="F58" s="4" t="s">
        <v>108</v>
      </c>
      <c r="G58" s="4" t="s">
        <v>107</v>
      </c>
      <c r="H58" s="6">
        <v>5.28</v>
      </c>
    </row>
    <row r="59" spans="1:8">
      <c r="A59" s="4" t="s">
        <v>9</v>
      </c>
      <c r="B59" s="4" t="s">
        <v>17</v>
      </c>
      <c r="C59" s="4"/>
      <c r="D59" s="4" t="s">
        <v>93</v>
      </c>
      <c r="E59" s="4" t="s">
        <v>109</v>
      </c>
      <c r="F59" s="4" t="s">
        <v>110</v>
      </c>
      <c r="G59" s="4"/>
      <c r="H59" s="6">
        <v>0.25</v>
      </c>
    </row>
    <row r="60" spans="1:8">
      <c r="A60" s="4" t="s">
        <v>9</v>
      </c>
      <c r="B60" s="4" t="s">
        <v>27</v>
      </c>
      <c r="C60" s="4"/>
      <c r="D60" s="4" t="s">
        <v>93</v>
      </c>
      <c r="E60" s="4" t="s">
        <v>109</v>
      </c>
      <c r="F60" s="4" t="s">
        <v>110</v>
      </c>
      <c r="G60" s="4"/>
      <c r="H60" s="6">
        <v>0.25</v>
      </c>
    </row>
    <row r="61" spans="1:8">
      <c r="A61" s="4" t="s">
        <v>9</v>
      </c>
      <c r="B61" s="4" t="s">
        <v>34</v>
      </c>
      <c r="C61" s="4"/>
      <c r="D61" s="4" t="s">
        <v>93</v>
      </c>
      <c r="E61" s="4" t="s">
        <v>109</v>
      </c>
      <c r="F61" s="4" t="s">
        <v>110</v>
      </c>
      <c r="G61" s="4"/>
      <c r="H61" s="6">
        <v>0.25</v>
      </c>
    </row>
    <row r="62" spans="1:8">
      <c r="A62" s="4" t="s">
        <v>9</v>
      </c>
      <c r="B62" s="4" t="s">
        <v>61</v>
      </c>
      <c r="C62" s="4"/>
      <c r="D62" s="4" t="s">
        <v>93</v>
      </c>
      <c r="E62" s="4" t="s">
        <v>109</v>
      </c>
      <c r="F62" s="4" t="s">
        <v>110</v>
      </c>
      <c r="G62" s="4"/>
      <c r="H62" s="6">
        <v>0.25</v>
      </c>
    </row>
    <row r="63" spans="1:8">
      <c r="A63" s="4" t="s">
        <v>6</v>
      </c>
      <c r="B63" s="4" t="s">
        <v>44</v>
      </c>
      <c r="C63" s="4"/>
      <c r="D63" s="4" t="s">
        <v>93</v>
      </c>
      <c r="E63" s="4" t="s">
        <v>109</v>
      </c>
      <c r="F63" s="4" t="s">
        <v>110</v>
      </c>
      <c r="G63" s="4"/>
      <c r="H63" s="6">
        <v>0.25</v>
      </c>
    </row>
    <row r="64" spans="1:8">
      <c r="A64" s="4" t="s">
        <v>6</v>
      </c>
      <c r="B64" s="4" t="s">
        <v>46</v>
      </c>
      <c r="C64" s="4"/>
      <c r="D64" s="4" t="s">
        <v>93</v>
      </c>
      <c r="E64" s="4" t="s">
        <v>109</v>
      </c>
      <c r="F64" s="4" t="s">
        <v>110</v>
      </c>
      <c r="G64" s="4"/>
      <c r="H64" s="6">
        <v>0.25</v>
      </c>
    </row>
    <row r="65" spans="1:8">
      <c r="A65" s="4" t="s">
        <v>6</v>
      </c>
      <c r="B65" s="4" t="s">
        <v>47</v>
      </c>
      <c r="C65" s="4"/>
      <c r="D65" s="4" t="s">
        <v>93</v>
      </c>
      <c r="E65" s="4" t="s">
        <v>109</v>
      </c>
      <c r="F65" s="4" t="s">
        <v>110</v>
      </c>
      <c r="G65" s="4"/>
      <c r="H65" s="6">
        <v>0.25</v>
      </c>
    </row>
    <row r="66" spans="1:8">
      <c r="A66" s="4" t="s">
        <v>6</v>
      </c>
      <c r="B66" s="4" t="s">
        <v>52</v>
      </c>
      <c r="C66" s="4"/>
      <c r="D66" s="4" t="s">
        <v>93</v>
      </c>
      <c r="E66" s="4" t="s">
        <v>109</v>
      </c>
      <c r="F66" s="4" t="s">
        <v>110</v>
      </c>
      <c r="G66" s="4"/>
      <c r="H66" s="6">
        <v>0.25</v>
      </c>
    </row>
    <row r="67" spans="1:8">
      <c r="A67" s="4" t="s">
        <v>6</v>
      </c>
      <c r="B67" s="31" t="s">
        <v>44</v>
      </c>
      <c r="C67" s="4"/>
      <c r="D67" s="4" t="s">
        <v>111</v>
      </c>
      <c r="E67" s="4" t="s">
        <v>112</v>
      </c>
      <c r="F67" s="4" t="s">
        <v>113</v>
      </c>
      <c r="G67" s="4"/>
      <c r="H67" s="6">
        <v>0.25</v>
      </c>
    </row>
    <row r="68" spans="1:8">
      <c r="A68" s="4" t="s">
        <v>6</v>
      </c>
      <c r="B68" s="31" t="s">
        <v>44</v>
      </c>
      <c r="C68" s="4"/>
      <c r="D68" s="4" t="s">
        <v>111</v>
      </c>
      <c r="E68" s="4" t="s">
        <v>114</v>
      </c>
      <c r="F68" s="4" t="s">
        <v>113</v>
      </c>
      <c r="G68" s="4"/>
      <c r="H68" s="6">
        <v>0.25</v>
      </c>
    </row>
    <row r="69" spans="1:8">
      <c r="A69" s="4" t="s">
        <v>6</v>
      </c>
      <c r="B69" s="4" t="s">
        <v>7</v>
      </c>
      <c r="C69" s="4"/>
      <c r="D69" s="4" t="s">
        <v>111</v>
      </c>
      <c r="E69" s="4" t="s">
        <v>115</v>
      </c>
      <c r="F69" s="4" t="s">
        <v>113</v>
      </c>
      <c r="G69" s="4"/>
      <c r="H69" s="6">
        <v>0.25</v>
      </c>
    </row>
    <row r="70" spans="1:8">
      <c r="A70" s="4" t="s">
        <v>9</v>
      </c>
      <c r="B70" s="4" t="s">
        <v>38</v>
      </c>
      <c r="C70" s="4"/>
      <c r="D70" s="4" t="s">
        <v>111</v>
      </c>
      <c r="E70" s="4" t="s">
        <v>116</v>
      </c>
      <c r="F70" s="4" t="s">
        <v>110</v>
      </c>
      <c r="G70" s="4"/>
      <c r="H70" s="6">
        <v>0.1</v>
      </c>
    </row>
    <row r="71" spans="1:8">
      <c r="A71" s="4" t="s">
        <v>6</v>
      </c>
      <c r="B71" s="4" t="s">
        <v>52</v>
      </c>
      <c r="C71" s="4"/>
      <c r="D71" s="4" t="s">
        <v>111</v>
      </c>
      <c r="E71" s="4" t="s">
        <v>117</v>
      </c>
      <c r="F71" s="4" t="s">
        <v>110</v>
      </c>
      <c r="G71" s="4"/>
      <c r="H71" s="6">
        <v>0.1</v>
      </c>
    </row>
    <row r="72" spans="1:8">
      <c r="A72" s="4" t="s">
        <v>6</v>
      </c>
      <c r="B72" s="4" t="s">
        <v>47</v>
      </c>
      <c r="C72" s="4"/>
      <c r="D72" s="4" t="s">
        <v>111</v>
      </c>
      <c r="E72" s="4" t="s">
        <v>118</v>
      </c>
      <c r="F72" s="4" t="s">
        <v>110</v>
      </c>
      <c r="G72" s="4"/>
      <c r="H72" s="6">
        <v>0.1</v>
      </c>
    </row>
    <row r="73" spans="1:8">
      <c r="A73" s="4" t="s">
        <v>6</v>
      </c>
      <c r="B73" s="4" t="s">
        <v>46</v>
      </c>
      <c r="C73" s="4"/>
      <c r="D73" s="4" t="s">
        <v>111</v>
      </c>
      <c r="E73" s="4" t="s">
        <v>118</v>
      </c>
      <c r="F73" s="4" t="s">
        <v>110</v>
      </c>
      <c r="G73" s="4"/>
      <c r="H73" s="6">
        <v>0.1</v>
      </c>
    </row>
    <row r="74" spans="1:8">
      <c r="A74" s="4" t="s">
        <v>9</v>
      </c>
      <c r="B74" s="4"/>
      <c r="C74" s="4"/>
      <c r="D74" s="4" t="s">
        <v>119</v>
      </c>
      <c r="E74" s="4"/>
      <c r="F74" s="4" t="s">
        <v>108</v>
      </c>
      <c r="G74" s="4" t="s">
        <v>120</v>
      </c>
      <c r="H74" s="6">
        <v>0.5</v>
      </c>
    </row>
    <row r="75" spans="1:8">
      <c r="A75" s="4" t="s">
        <v>6</v>
      </c>
      <c r="B75" s="4"/>
      <c r="C75" s="4"/>
      <c r="D75" s="4" t="s">
        <v>119</v>
      </c>
      <c r="E75" s="4"/>
      <c r="F75" s="4" t="s">
        <v>108</v>
      </c>
      <c r="G75" s="4" t="s">
        <v>120</v>
      </c>
      <c r="H75" s="6">
        <v>0.5</v>
      </c>
    </row>
    <row r="76" spans="1:8">
      <c r="A76" s="4" t="s">
        <v>9</v>
      </c>
      <c r="B76" s="4"/>
      <c r="C76" s="4"/>
      <c r="D76" s="4" t="s">
        <v>119</v>
      </c>
      <c r="E76" s="4"/>
      <c r="F76" s="4" t="s">
        <v>108</v>
      </c>
      <c r="G76" s="4" t="s">
        <v>107</v>
      </c>
      <c r="H76" s="6">
        <v>0.5</v>
      </c>
    </row>
    <row r="77" spans="1:8">
      <c r="A77" s="4" t="s">
        <v>6</v>
      </c>
      <c r="B77" s="4"/>
      <c r="C77" s="4"/>
      <c r="D77" s="4" t="s">
        <v>119</v>
      </c>
      <c r="E77" s="4"/>
      <c r="F77" s="4" t="s">
        <v>108</v>
      </c>
      <c r="G77" s="4" t="s">
        <v>107</v>
      </c>
      <c r="H77" s="6">
        <v>0.5</v>
      </c>
    </row>
  </sheetData>
  <dataValidations count="2">
    <dataValidation allowBlank="1" showInputMessage="1" showErrorMessage="1" sqref="D1"/>
    <dataValidation type="list" allowBlank="1" showInputMessage="1" showErrorMessage="1" sqref="D2:D1048576">
      <formula1>"基本评定分,集体评定等级分,社会责任记实分,荣誉称号加分,违纪违规扣分"</formula1>
    </dataValidation>
  </dataValidation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58"/>
  <sheetViews>
    <sheetView tabSelected="1" workbookViewId="0">
      <selection activeCell="L26" sqref="L26"/>
    </sheetView>
  </sheetViews>
  <sheetFormatPr defaultColWidth="9.2037037037037" defaultRowHeight="14.4" outlineLevelCol="3"/>
  <cols>
    <col min="1" max="1" width="19.7314814814815" customWidth="1"/>
    <col min="2" max="2" width="16.2685185185185" customWidth="1"/>
    <col min="3" max="3" width="9.39814814814815" customWidth="1"/>
    <col min="4" max="4" width="14.1296296296296" customWidth="1"/>
  </cols>
  <sheetData>
    <row r="1" spans="1:4">
      <c r="A1" s="4" t="s">
        <v>0</v>
      </c>
      <c r="B1" s="4" t="s">
        <v>1</v>
      </c>
      <c r="C1" s="4"/>
      <c r="D1" s="4" t="s">
        <v>121</v>
      </c>
    </row>
    <row r="2" spans="1:4">
      <c r="A2" s="4" t="s">
        <v>6</v>
      </c>
      <c r="B2" s="4" t="s">
        <v>7</v>
      </c>
      <c r="C2" s="4"/>
      <c r="D2" s="6">
        <v>1.302</v>
      </c>
    </row>
    <row r="3" spans="1:4">
      <c r="A3" s="4" t="s">
        <v>6</v>
      </c>
      <c r="B3" s="4" t="s">
        <v>8</v>
      </c>
      <c r="C3" s="4"/>
      <c r="D3" s="6">
        <v>2.116</v>
      </c>
    </row>
    <row r="4" spans="1:4">
      <c r="A4" s="4" t="s">
        <v>9</v>
      </c>
      <c r="B4" s="4" t="s">
        <v>10</v>
      </c>
      <c r="C4" s="4"/>
      <c r="D4" s="6">
        <v>2.97</v>
      </c>
    </row>
    <row r="5" spans="1:4">
      <c r="A5" s="4" t="s">
        <v>6</v>
      </c>
      <c r="B5" s="4" t="s">
        <v>11</v>
      </c>
      <c r="C5" s="4"/>
      <c r="D5" s="6">
        <v>0.69</v>
      </c>
    </row>
    <row r="6" spans="1:4">
      <c r="A6" s="4" t="s">
        <v>9</v>
      </c>
      <c r="B6" s="4" t="s">
        <v>12</v>
      </c>
      <c r="C6" s="4"/>
      <c r="D6" s="6">
        <v>3.4</v>
      </c>
    </row>
    <row r="7" spans="1:4">
      <c r="A7" s="4" t="s">
        <v>9</v>
      </c>
      <c r="B7" s="4" t="s">
        <v>13</v>
      </c>
      <c r="C7" s="4"/>
      <c r="D7" s="6">
        <v>4.06</v>
      </c>
    </row>
    <row r="8" spans="1:4">
      <c r="A8" s="4" t="s">
        <v>9</v>
      </c>
      <c r="B8" s="4" t="s">
        <v>14</v>
      </c>
      <c r="C8" s="4"/>
      <c r="D8" s="6">
        <v>2.69</v>
      </c>
    </row>
    <row r="9" spans="1:4">
      <c r="A9" s="4" t="s">
        <v>9</v>
      </c>
      <c r="B9" s="4" t="s">
        <v>15</v>
      </c>
      <c r="C9" s="4"/>
      <c r="D9" s="6">
        <v>3.22</v>
      </c>
    </row>
    <row r="10" spans="1:4">
      <c r="A10" s="4" t="s">
        <v>9</v>
      </c>
      <c r="B10" s="4" t="s">
        <v>16</v>
      </c>
      <c r="C10" s="4"/>
      <c r="D10" s="6">
        <v>3.171</v>
      </c>
    </row>
    <row r="11" spans="1:4">
      <c r="A11" s="4" t="s">
        <v>9</v>
      </c>
      <c r="B11" s="4" t="s">
        <v>17</v>
      </c>
      <c r="C11" s="4"/>
      <c r="D11" s="6">
        <v>3.793</v>
      </c>
    </row>
    <row r="12" spans="1:4">
      <c r="A12" s="4" t="s">
        <v>9</v>
      </c>
      <c r="B12" s="4" t="s">
        <v>18</v>
      </c>
      <c r="C12" s="4"/>
      <c r="D12" s="6">
        <v>1.59</v>
      </c>
    </row>
    <row r="13" spans="1:4">
      <c r="A13" s="4" t="s">
        <v>9</v>
      </c>
      <c r="B13" s="4" t="s">
        <v>19</v>
      </c>
      <c r="C13" s="4"/>
      <c r="D13" s="6">
        <v>3.353</v>
      </c>
    </row>
    <row r="14" spans="1:4">
      <c r="A14" s="4" t="s">
        <v>9</v>
      </c>
      <c r="B14" s="4" t="s">
        <v>20</v>
      </c>
      <c r="C14" s="4"/>
      <c r="D14" s="6">
        <v>3.28</v>
      </c>
    </row>
    <row r="15" spans="1:4">
      <c r="A15" s="4" t="s">
        <v>9</v>
      </c>
      <c r="B15" s="4" t="s">
        <v>21</v>
      </c>
      <c r="C15" s="4"/>
      <c r="D15" s="6">
        <v>2.908</v>
      </c>
    </row>
    <row r="16" spans="1:4">
      <c r="A16" s="4" t="s">
        <v>9</v>
      </c>
      <c r="B16" s="4" t="s">
        <v>22</v>
      </c>
      <c r="C16" s="4"/>
      <c r="D16" s="6">
        <v>2.519</v>
      </c>
    </row>
    <row r="17" spans="1:4">
      <c r="A17" s="4" t="s">
        <v>9</v>
      </c>
      <c r="B17" s="4" t="s">
        <v>23</v>
      </c>
      <c r="C17" s="4"/>
      <c r="D17" s="6">
        <v>2.302</v>
      </c>
    </row>
    <row r="18" spans="1:4">
      <c r="A18" s="4" t="s">
        <v>9</v>
      </c>
      <c r="B18" s="4" t="s">
        <v>24</v>
      </c>
      <c r="C18" s="4"/>
      <c r="D18" s="6">
        <v>2.778</v>
      </c>
    </row>
    <row r="19" spans="1:4">
      <c r="A19" s="4" t="s">
        <v>9</v>
      </c>
      <c r="B19" s="4" t="s">
        <v>25</v>
      </c>
      <c r="C19" s="4"/>
      <c r="D19" s="6">
        <v>2.821</v>
      </c>
    </row>
    <row r="20" spans="1:4">
      <c r="A20" s="4" t="s">
        <v>9</v>
      </c>
      <c r="B20" s="4" t="s">
        <v>26</v>
      </c>
      <c r="C20" s="4"/>
      <c r="D20" s="6">
        <v>1.946</v>
      </c>
    </row>
    <row r="21" spans="1:4">
      <c r="A21" s="4" t="s">
        <v>9</v>
      </c>
      <c r="B21" s="4" t="s">
        <v>27</v>
      </c>
      <c r="C21" s="4"/>
      <c r="D21" s="6">
        <v>3.975</v>
      </c>
    </row>
    <row r="22" spans="1:4">
      <c r="A22" s="4" t="s">
        <v>9</v>
      </c>
      <c r="B22" s="4" t="s">
        <v>28</v>
      </c>
      <c r="C22" s="4"/>
      <c r="D22" s="6">
        <v>2.568</v>
      </c>
    </row>
    <row r="23" spans="1:4">
      <c r="A23" s="4" t="s">
        <v>9</v>
      </c>
      <c r="B23" s="4" t="s">
        <v>29</v>
      </c>
      <c r="C23" s="4"/>
      <c r="D23" s="6">
        <v>0.623</v>
      </c>
    </row>
    <row r="24" spans="1:4">
      <c r="A24" s="4" t="s">
        <v>9</v>
      </c>
      <c r="B24" s="4" t="s">
        <v>30</v>
      </c>
      <c r="C24" s="4"/>
      <c r="D24" s="6">
        <v>3.651</v>
      </c>
    </row>
    <row r="25" spans="1:4">
      <c r="A25" s="4" t="s">
        <v>9</v>
      </c>
      <c r="B25" s="4" t="s">
        <v>31</v>
      </c>
      <c r="C25" s="4"/>
      <c r="D25" s="6">
        <v>1.807</v>
      </c>
    </row>
    <row r="26" spans="1:4">
      <c r="A26" s="4" t="s">
        <v>9</v>
      </c>
      <c r="B26" s="4" t="s">
        <v>32</v>
      </c>
      <c r="C26" s="4"/>
      <c r="D26" s="6">
        <v>2.192</v>
      </c>
    </row>
    <row r="27" spans="1:4">
      <c r="A27" s="4" t="s">
        <v>9</v>
      </c>
      <c r="B27" s="4" t="s">
        <v>33</v>
      </c>
      <c r="C27" s="4"/>
      <c r="D27" s="6">
        <v>2.75</v>
      </c>
    </row>
    <row r="28" spans="1:4">
      <c r="A28" s="4" t="s">
        <v>9</v>
      </c>
      <c r="B28" s="4" t="s">
        <v>34</v>
      </c>
      <c r="C28" s="4"/>
      <c r="D28" s="6">
        <v>4.117</v>
      </c>
    </row>
    <row r="29" spans="1:4">
      <c r="A29" s="4" t="s">
        <v>9</v>
      </c>
      <c r="B29" s="4" t="s">
        <v>35</v>
      </c>
      <c r="C29" s="4"/>
      <c r="D29" s="6">
        <v>3.353</v>
      </c>
    </row>
    <row r="30" spans="1:4">
      <c r="A30" s="4" t="s">
        <v>6</v>
      </c>
      <c r="B30" s="4" t="s">
        <v>36</v>
      </c>
      <c r="C30" s="4"/>
      <c r="D30" s="6">
        <v>3.058</v>
      </c>
    </row>
    <row r="31" spans="1:4">
      <c r="A31" s="4" t="s">
        <v>6</v>
      </c>
      <c r="B31" s="4" t="s">
        <v>37</v>
      </c>
      <c r="C31" s="4"/>
      <c r="D31" s="6">
        <v>3.226</v>
      </c>
    </row>
    <row r="32" spans="1:4">
      <c r="A32" s="4" t="s">
        <v>9</v>
      </c>
      <c r="B32" s="4" t="s">
        <v>38</v>
      </c>
      <c r="C32" s="4"/>
      <c r="D32" s="6">
        <v>3.859</v>
      </c>
    </row>
    <row r="33" spans="1:4">
      <c r="A33" s="4" t="s">
        <v>6</v>
      </c>
      <c r="B33" s="4" t="s">
        <v>39</v>
      </c>
      <c r="C33" s="4"/>
      <c r="D33" s="6">
        <v>3.316</v>
      </c>
    </row>
    <row r="34" spans="1:4">
      <c r="A34" s="4" t="s">
        <v>6</v>
      </c>
      <c r="B34" s="4" t="s">
        <v>40</v>
      </c>
      <c r="C34" s="4"/>
      <c r="D34" s="6">
        <v>0.907</v>
      </c>
    </row>
    <row r="35" spans="1:4">
      <c r="A35" s="4" t="s">
        <v>6</v>
      </c>
      <c r="B35" s="4" t="s">
        <v>41</v>
      </c>
      <c r="C35" s="4"/>
      <c r="D35" s="6">
        <v>3.038</v>
      </c>
    </row>
    <row r="36" spans="1:4">
      <c r="A36" s="4" t="s">
        <v>6</v>
      </c>
      <c r="B36" s="4" t="s">
        <v>42</v>
      </c>
      <c r="C36" s="4"/>
      <c r="D36" s="6">
        <v>3.137</v>
      </c>
    </row>
    <row r="37" spans="1:4">
      <c r="A37" s="4" t="s">
        <v>6</v>
      </c>
      <c r="B37" s="4" t="s">
        <v>43</v>
      </c>
      <c r="C37" s="4"/>
      <c r="D37" s="6">
        <v>3.481</v>
      </c>
    </row>
    <row r="38" spans="1:4">
      <c r="A38" s="4" t="s">
        <v>6</v>
      </c>
      <c r="B38" s="4" t="s">
        <v>44</v>
      </c>
      <c r="C38" s="4"/>
      <c r="D38" s="6">
        <v>2.847</v>
      </c>
    </row>
    <row r="39" spans="1:4">
      <c r="A39" s="4" t="s">
        <v>6</v>
      </c>
      <c r="B39" s="4" t="s">
        <v>45</v>
      </c>
      <c r="C39" s="4"/>
      <c r="D39" s="6">
        <v>3.673</v>
      </c>
    </row>
    <row r="40" spans="1:4">
      <c r="A40" s="4" t="s">
        <v>6</v>
      </c>
      <c r="B40" s="4" t="s">
        <v>46</v>
      </c>
      <c r="C40" s="4"/>
      <c r="D40" s="6">
        <v>3.452</v>
      </c>
    </row>
    <row r="41" spans="1:4">
      <c r="A41" s="4" t="s">
        <v>6</v>
      </c>
      <c r="B41" s="4" t="s">
        <v>47</v>
      </c>
      <c r="C41" s="4"/>
      <c r="D41" s="6">
        <v>3.213</v>
      </c>
    </row>
    <row r="42" spans="1:4">
      <c r="A42" s="4" t="s">
        <v>6</v>
      </c>
      <c r="B42" s="4" t="s">
        <v>48</v>
      </c>
      <c r="C42" s="4"/>
      <c r="D42" s="6">
        <v>4.101</v>
      </c>
    </row>
    <row r="43" spans="1:4">
      <c r="A43" s="4" t="s">
        <v>6</v>
      </c>
      <c r="B43" s="4" t="s">
        <v>49</v>
      </c>
      <c r="C43" s="4"/>
      <c r="D43" s="6">
        <v>3.454</v>
      </c>
    </row>
    <row r="44" spans="1:4">
      <c r="A44" s="4" t="s">
        <v>6</v>
      </c>
      <c r="B44" s="4" t="s">
        <v>50</v>
      </c>
      <c r="C44" s="4"/>
      <c r="D44" s="6">
        <v>2.763</v>
      </c>
    </row>
    <row r="45" spans="1:4">
      <c r="A45" s="4" t="s">
        <v>6</v>
      </c>
      <c r="B45" s="4" t="s">
        <v>51</v>
      </c>
      <c r="C45" s="4"/>
      <c r="D45" s="6">
        <v>2.607</v>
      </c>
    </row>
    <row r="46" spans="1:4">
      <c r="A46" s="4" t="s">
        <v>6</v>
      </c>
      <c r="B46" s="4" t="s">
        <v>52</v>
      </c>
      <c r="C46" s="4"/>
      <c r="D46" s="6">
        <v>3.511</v>
      </c>
    </row>
    <row r="47" spans="1:4">
      <c r="A47" s="4" t="s">
        <v>6</v>
      </c>
      <c r="B47" s="4" t="s">
        <v>53</v>
      </c>
      <c r="C47" s="4"/>
      <c r="D47" s="6">
        <v>2.097</v>
      </c>
    </row>
    <row r="48" spans="1:4">
      <c r="A48" s="4" t="s">
        <v>6</v>
      </c>
      <c r="B48" s="4" t="s">
        <v>54</v>
      </c>
      <c r="C48" s="4"/>
      <c r="D48" s="6">
        <v>2.977</v>
      </c>
    </row>
    <row r="49" spans="1:4">
      <c r="A49" s="4" t="s">
        <v>6</v>
      </c>
      <c r="B49" s="4" t="s">
        <v>55</v>
      </c>
      <c r="C49" s="4"/>
      <c r="D49" s="6">
        <v>2.475</v>
      </c>
    </row>
    <row r="50" spans="1:4">
      <c r="A50" s="4" t="s">
        <v>6</v>
      </c>
      <c r="B50" s="4" t="s">
        <v>56</v>
      </c>
      <c r="C50" s="4"/>
      <c r="D50" s="6">
        <v>3.183</v>
      </c>
    </row>
    <row r="51" spans="1:4">
      <c r="A51" s="4" t="s">
        <v>6</v>
      </c>
      <c r="B51" s="4" t="s">
        <v>57</v>
      </c>
      <c r="C51" s="4"/>
      <c r="D51" s="6">
        <v>2.702</v>
      </c>
    </row>
    <row r="52" spans="1:4">
      <c r="A52" s="4" t="s">
        <v>6</v>
      </c>
      <c r="B52" s="4" t="s">
        <v>58</v>
      </c>
      <c r="C52" s="4"/>
      <c r="D52" s="6">
        <v>2.946</v>
      </c>
    </row>
    <row r="53" spans="1:4">
      <c r="A53" s="4" t="s">
        <v>6</v>
      </c>
      <c r="B53" s="4" t="s">
        <v>59</v>
      </c>
      <c r="C53" s="4"/>
      <c r="D53" s="6">
        <v>2.78</v>
      </c>
    </row>
    <row r="54" spans="1:4">
      <c r="A54" s="4" t="s">
        <v>9</v>
      </c>
      <c r="B54" s="4" t="s">
        <v>60</v>
      </c>
      <c r="C54" s="4"/>
      <c r="D54" s="6">
        <v>3.343</v>
      </c>
    </row>
    <row r="55" spans="1:4">
      <c r="A55" s="4" t="s">
        <v>9</v>
      </c>
      <c r="B55" s="4" t="s">
        <v>61</v>
      </c>
      <c r="C55" s="4"/>
      <c r="D55" s="6">
        <v>3.092</v>
      </c>
    </row>
    <row r="56" spans="1:4">
      <c r="A56" s="4" t="s">
        <v>9</v>
      </c>
      <c r="B56" s="4" t="s">
        <v>62</v>
      </c>
      <c r="C56" s="4"/>
      <c r="D56" s="6">
        <v>3.089</v>
      </c>
    </row>
    <row r="57" spans="1:4">
      <c r="A57" s="4" t="s">
        <v>9</v>
      </c>
      <c r="B57" s="4" t="s">
        <v>63</v>
      </c>
      <c r="C57" s="4"/>
      <c r="D57" s="6">
        <v>3.377</v>
      </c>
    </row>
    <row r="58" spans="1:4">
      <c r="A58" s="4" t="s">
        <v>9</v>
      </c>
      <c r="B58" s="4" t="s">
        <v>64</v>
      </c>
      <c r="C58" s="4"/>
      <c r="D58" s="6">
        <v>1.174</v>
      </c>
    </row>
  </sheetData>
  <autoFilter xmlns:etc="http://www.wps.cn/officeDocument/2017/etCustomData" ref="A1:D58" etc:filterBottomFollowUsedRange="0">
    <sortState ref="A1:D58">
      <sortCondition ref="B1"/>
    </sortState>
    <extLst/>
  </autoFilter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39"/>
  <sheetViews>
    <sheetView workbookViewId="0">
      <selection activeCell="C1" sqref="C1"/>
    </sheetView>
  </sheetViews>
  <sheetFormatPr defaultColWidth="9.2037037037037" defaultRowHeight="14.4"/>
  <cols>
    <col min="1" max="1" width="22" customWidth="1"/>
    <col min="2" max="2" width="14.1296296296296" customWidth="1"/>
    <col min="3" max="3" width="8.7962962962963" customWidth="1"/>
    <col min="4" max="4" width="17.6018518518519" customWidth="1"/>
    <col min="5" max="5" width="40.537037037037" customWidth="1"/>
    <col min="6" max="6" width="9.2037037037037" customWidth="1"/>
    <col min="7" max="8" width="8.12962962962963" customWidth="1"/>
    <col min="9" max="9" width="6" customWidth="1"/>
    <col min="10" max="10" width="8" customWidth="1"/>
    <col min="11" max="11" width="15.1296296296296" customWidth="1"/>
    <col min="12" max="12" width="8.66666666666667" customWidth="1"/>
  </cols>
  <sheetData>
    <row r="1" spans="1:12">
      <c r="A1" s="4" t="s">
        <v>0</v>
      </c>
      <c r="B1" s="4" t="s">
        <v>1</v>
      </c>
      <c r="C1" s="5" t="s">
        <v>2</v>
      </c>
      <c r="D1" s="4" t="s">
        <v>100</v>
      </c>
      <c r="E1" s="4" t="s">
        <v>101</v>
      </c>
      <c r="F1" s="4" t="s">
        <v>102</v>
      </c>
      <c r="G1" s="4" t="s">
        <v>103</v>
      </c>
      <c r="H1" s="4" t="s">
        <v>122</v>
      </c>
      <c r="I1" s="4" t="s">
        <v>123</v>
      </c>
      <c r="J1" s="4" t="s">
        <v>104</v>
      </c>
      <c r="K1" s="4" t="s">
        <v>124</v>
      </c>
      <c r="L1" s="4" t="s">
        <v>99</v>
      </c>
    </row>
    <row r="2" spans="1:12">
      <c r="A2" s="4" t="s">
        <v>9</v>
      </c>
      <c r="B2" s="4" t="s">
        <v>17</v>
      </c>
      <c r="C2" s="4"/>
      <c r="D2" s="4" t="s">
        <v>125</v>
      </c>
      <c r="E2" s="4" t="s">
        <v>126</v>
      </c>
      <c r="F2" s="4" t="s">
        <v>113</v>
      </c>
      <c r="G2" s="4"/>
      <c r="H2" s="4" t="s">
        <v>127</v>
      </c>
      <c r="I2" s="4" t="s">
        <v>128</v>
      </c>
      <c r="J2" s="6">
        <v>2</v>
      </c>
      <c r="K2" s="6">
        <v>0.5</v>
      </c>
      <c r="L2" s="6">
        <v>1</v>
      </c>
    </row>
    <row r="3" spans="1:12">
      <c r="A3" s="4" t="s">
        <v>9</v>
      </c>
      <c r="B3" s="4" t="s">
        <v>15</v>
      </c>
      <c r="C3" s="4"/>
      <c r="D3" s="4" t="s">
        <v>129</v>
      </c>
      <c r="E3" s="4" t="s">
        <v>130</v>
      </c>
      <c r="F3" s="4"/>
      <c r="G3" s="4" t="s">
        <v>120</v>
      </c>
      <c r="H3" s="4"/>
      <c r="I3" s="4"/>
      <c r="J3" s="6">
        <v>0</v>
      </c>
      <c r="K3" s="6"/>
      <c r="L3" s="6"/>
    </row>
    <row r="4" spans="1:12">
      <c r="A4" s="4" t="s">
        <v>9</v>
      </c>
      <c r="B4" s="4" t="s">
        <v>18</v>
      </c>
      <c r="C4" s="4"/>
      <c r="D4" s="4" t="s">
        <v>129</v>
      </c>
      <c r="E4" s="4" t="s">
        <v>130</v>
      </c>
      <c r="F4" s="4"/>
      <c r="G4" s="4" t="s">
        <v>120</v>
      </c>
      <c r="H4" s="4"/>
      <c r="I4" s="4"/>
      <c r="J4" s="6">
        <v>60</v>
      </c>
      <c r="K4" s="6"/>
      <c r="L4" s="6"/>
    </row>
    <row r="5" spans="1:12">
      <c r="A5" s="4" t="s">
        <v>9</v>
      </c>
      <c r="B5" s="4" t="s">
        <v>22</v>
      </c>
      <c r="C5" s="4"/>
      <c r="D5" s="4" t="s">
        <v>129</v>
      </c>
      <c r="E5" s="4" t="s">
        <v>130</v>
      </c>
      <c r="F5" s="4"/>
      <c r="G5" s="4" t="s">
        <v>120</v>
      </c>
      <c r="H5" s="4"/>
      <c r="I5" s="4"/>
      <c r="J5" s="6">
        <v>54</v>
      </c>
      <c r="K5" s="6"/>
      <c r="L5" s="6"/>
    </row>
    <row r="6" spans="1:12">
      <c r="A6" s="4" t="s">
        <v>9</v>
      </c>
      <c r="B6" s="4" t="s">
        <v>26</v>
      </c>
      <c r="C6" s="4"/>
      <c r="D6" s="4" t="s">
        <v>129</v>
      </c>
      <c r="E6" s="4" t="s">
        <v>130</v>
      </c>
      <c r="F6" s="4"/>
      <c r="G6" s="4" t="s">
        <v>120</v>
      </c>
      <c r="H6" s="4"/>
      <c r="I6" s="4"/>
      <c r="J6" s="6">
        <v>65</v>
      </c>
      <c r="K6" s="6"/>
      <c r="L6" s="6"/>
    </row>
    <row r="7" spans="1:12">
      <c r="A7" s="4" t="s">
        <v>9</v>
      </c>
      <c r="B7" s="4" t="s">
        <v>14</v>
      </c>
      <c r="C7" s="4"/>
      <c r="D7" s="4" t="s">
        <v>129</v>
      </c>
      <c r="E7" s="4" t="s">
        <v>130</v>
      </c>
      <c r="F7" s="4"/>
      <c r="G7" s="4" t="s">
        <v>120</v>
      </c>
      <c r="H7" s="4"/>
      <c r="I7" s="4"/>
      <c r="J7" s="6">
        <v>55</v>
      </c>
      <c r="K7" s="6"/>
      <c r="L7" s="6"/>
    </row>
    <row r="8" spans="1:12">
      <c r="A8" s="4" t="s">
        <v>9</v>
      </c>
      <c r="B8" s="4" t="s">
        <v>25</v>
      </c>
      <c r="C8" s="4"/>
      <c r="D8" s="4" t="s">
        <v>129</v>
      </c>
      <c r="E8" s="4" t="s">
        <v>130</v>
      </c>
      <c r="F8" s="4"/>
      <c r="G8" s="4" t="s">
        <v>120</v>
      </c>
      <c r="H8" s="4"/>
      <c r="I8" s="4"/>
      <c r="J8" s="6">
        <v>38</v>
      </c>
      <c r="K8" s="6"/>
      <c r="L8" s="6"/>
    </row>
    <row r="9" spans="1:12">
      <c r="A9" s="4" t="s">
        <v>9</v>
      </c>
      <c r="B9" s="4" t="s">
        <v>28</v>
      </c>
      <c r="C9" s="4"/>
      <c r="D9" s="4" t="s">
        <v>129</v>
      </c>
      <c r="E9" s="4" t="s">
        <v>130</v>
      </c>
      <c r="F9" s="4"/>
      <c r="G9" s="4" t="s">
        <v>120</v>
      </c>
      <c r="H9" s="4"/>
      <c r="I9" s="4"/>
      <c r="J9" s="6">
        <v>66</v>
      </c>
      <c r="K9" s="6"/>
      <c r="L9" s="6"/>
    </row>
    <row r="10" spans="1:12">
      <c r="A10" s="4" t="s">
        <v>9</v>
      </c>
      <c r="B10" s="4" t="s">
        <v>32</v>
      </c>
      <c r="C10" s="4"/>
      <c r="D10" s="4" t="s">
        <v>129</v>
      </c>
      <c r="E10" s="4" t="s">
        <v>130</v>
      </c>
      <c r="F10" s="4"/>
      <c r="G10" s="4" t="s">
        <v>120</v>
      </c>
      <c r="H10" s="4"/>
      <c r="I10" s="4"/>
      <c r="J10" s="6">
        <v>66</v>
      </c>
      <c r="K10" s="6"/>
      <c r="L10" s="6"/>
    </row>
    <row r="11" spans="1:12">
      <c r="A11" s="4" t="s">
        <v>9</v>
      </c>
      <c r="B11" s="4" t="s">
        <v>33</v>
      </c>
      <c r="C11" s="4"/>
      <c r="D11" s="4" t="s">
        <v>129</v>
      </c>
      <c r="E11" s="4" t="s">
        <v>130</v>
      </c>
      <c r="F11" s="4"/>
      <c r="G11" s="4" t="s">
        <v>120</v>
      </c>
      <c r="H11" s="4"/>
      <c r="I11" s="4"/>
      <c r="J11" s="6">
        <v>74</v>
      </c>
      <c r="K11" s="6"/>
      <c r="L11" s="6"/>
    </row>
    <row r="12" spans="1:12">
      <c r="A12" s="4" t="s">
        <v>9</v>
      </c>
      <c r="B12" s="4" t="s">
        <v>62</v>
      </c>
      <c r="C12" s="4"/>
      <c r="D12" s="4" t="s">
        <v>129</v>
      </c>
      <c r="E12" s="4" t="s">
        <v>130</v>
      </c>
      <c r="F12" s="4"/>
      <c r="G12" s="4" t="s">
        <v>120</v>
      </c>
      <c r="H12" s="4"/>
      <c r="I12" s="4"/>
      <c r="J12" s="6">
        <v>51</v>
      </c>
      <c r="K12" s="6"/>
      <c r="L12" s="6"/>
    </row>
    <row r="13" spans="1:12">
      <c r="A13" s="4" t="s">
        <v>6</v>
      </c>
      <c r="B13" s="4" t="s">
        <v>11</v>
      </c>
      <c r="C13" s="4"/>
      <c r="D13" s="4" t="s">
        <v>129</v>
      </c>
      <c r="E13" s="4" t="s">
        <v>130</v>
      </c>
      <c r="F13" s="4"/>
      <c r="G13" s="4" t="s">
        <v>120</v>
      </c>
      <c r="H13" s="4"/>
      <c r="I13" s="4"/>
      <c r="J13" s="6">
        <v>0</v>
      </c>
      <c r="K13" s="6"/>
      <c r="L13" s="6"/>
    </row>
    <row r="14" spans="1:12">
      <c r="A14" s="4" t="s">
        <v>6</v>
      </c>
      <c r="B14" s="4" t="s">
        <v>36</v>
      </c>
      <c r="C14" s="4"/>
      <c r="D14" s="4" t="s">
        <v>129</v>
      </c>
      <c r="E14" s="4" t="s">
        <v>130</v>
      </c>
      <c r="F14" s="4"/>
      <c r="G14" s="4" t="s">
        <v>120</v>
      </c>
      <c r="H14" s="4"/>
      <c r="I14" s="4"/>
      <c r="J14" s="6">
        <v>71</v>
      </c>
      <c r="K14" s="6"/>
      <c r="L14" s="6"/>
    </row>
    <row r="15" spans="1:12">
      <c r="A15" s="4" t="s">
        <v>6</v>
      </c>
      <c r="B15" s="4" t="s">
        <v>37</v>
      </c>
      <c r="C15" s="4"/>
      <c r="D15" s="4" t="s">
        <v>129</v>
      </c>
      <c r="E15" s="4" t="s">
        <v>130</v>
      </c>
      <c r="F15" s="4"/>
      <c r="G15" s="4" t="s">
        <v>120</v>
      </c>
      <c r="H15" s="4"/>
      <c r="I15" s="4"/>
      <c r="J15" s="6">
        <v>64</v>
      </c>
      <c r="K15" s="6"/>
      <c r="L15" s="6"/>
    </row>
    <row r="16" spans="1:12">
      <c r="A16" s="4" t="s">
        <v>6</v>
      </c>
      <c r="B16" s="4" t="s">
        <v>40</v>
      </c>
      <c r="C16" s="4"/>
      <c r="D16" s="4" t="s">
        <v>129</v>
      </c>
      <c r="E16" s="4" t="s">
        <v>130</v>
      </c>
      <c r="F16" s="4"/>
      <c r="G16" s="4" t="s">
        <v>120</v>
      </c>
      <c r="H16" s="4"/>
      <c r="I16" s="4"/>
      <c r="J16" s="6">
        <v>68</v>
      </c>
      <c r="K16" s="6"/>
      <c r="L16" s="6"/>
    </row>
    <row r="17" spans="1:12">
      <c r="A17" s="4" t="s">
        <v>6</v>
      </c>
      <c r="B17" s="4" t="s">
        <v>46</v>
      </c>
      <c r="C17" s="4"/>
      <c r="D17" s="4" t="s">
        <v>129</v>
      </c>
      <c r="E17" s="4" t="s">
        <v>130</v>
      </c>
      <c r="F17" s="4"/>
      <c r="G17" s="4" t="s">
        <v>120</v>
      </c>
      <c r="H17" s="4"/>
      <c r="I17" s="4"/>
      <c r="J17" s="6">
        <v>76</v>
      </c>
      <c r="K17" s="6"/>
      <c r="L17" s="6"/>
    </row>
    <row r="18" spans="1:12">
      <c r="A18" s="4" t="s">
        <v>6</v>
      </c>
      <c r="B18" s="4" t="s">
        <v>55</v>
      </c>
      <c r="C18" s="4"/>
      <c r="D18" s="4" t="s">
        <v>129</v>
      </c>
      <c r="E18" s="4" t="s">
        <v>130</v>
      </c>
      <c r="F18" s="4"/>
      <c r="G18" s="4" t="s">
        <v>120</v>
      </c>
      <c r="H18" s="4"/>
      <c r="I18" s="4"/>
      <c r="J18" s="6">
        <v>49</v>
      </c>
      <c r="K18" s="6"/>
      <c r="L18" s="6"/>
    </row>
    <row r="19" spans="1:12">
      <c r="A19" s="4" t="s">
        <v>6</v>
      </c>
      <c r="B19" s="4" t="s">
        <v>56</v>
      </c>
      <c r="C19" s="4"/>
      <c r="D19" s="4" t="s">
        <v>129</v>
      </c>
      <c r="E19" s="4" t="s">
        <v>130</v>
      </c>
      <c r="F19" s="4"/>
      <c r="G19" s="4" t="s">
        <v>120</v>
      </c>
      <c r="H19" s="4"/>
      <c r="I19" s="4"/>
      <c r="J19" s="6">
        <v>73</v>
      </c>
      <c r="K19" s="6"/>
      <c r="L19" s="6"/>
    </row>
    <row r="20" spans="1:12">
      <c r="A20" s="4" t="s">
        <v>6</v>
      </c>
      <c r="B20" s="4" t="s">
        <v>58</v>
      </c>
      <c r="C20" s="4"/>
      <c r="D20" s="4" t="s">
        <v>129</v>
      </c>
      <c r="E20" s="4" t="s">
        <v>130</v>
      </c>
      <c r="F20" s="4"/>
      <c r="G20" s="4" t="s">
        <v>120</v>
      </c>
      <c r="H20" s="4"/>
      <c r="I20" s="4"/>
      <c r="J20" s="6">
        <v>70</v>
      </c>
      <c r="K20" s="6"/>
      <c r="L20" s="6"/>
    </row>
    <row r="21" spans="1:12">
      <c r="A21" s="4" t="s">
        <v>6</v>
      </c>
      <c r="B21" s="4" t="s">
        <v>51</v>
      </c>
      <c r="C21" s="4"/>
      <c r="D21" s="4" t="s">
        <v>129</v>
      </c>
      <c r="E21" s="4" t="s">
        <v>130</v>
      </c>
      <c r="F21" s="4"/>
      <c r="G21" s="4" t="s">
        <v>120</v>
      </c>
      <c r="H21" s="4"/>
      <c r="I21" s="4"/>
      <c r="J21" s="6">
        <v>81</v>
      </c>
      <c r="K21" s="6"/>
      <c r="L21" s="6"/>
    </row>
    <row r="22" spans="1:12">
      <c r="A22" s="4" t="s">
        <v>9</v>
      </c>
      <c r="B22" s="4" t="s">
        <v>12</v>
      </c>
      <c r="C22" s="4"/>
      <c r="D22" s="4" t="s">
        <v>129</v>
      </c>
      <c r="E22" s="4" t="s">
        <v>130</v>
      </c>
      <c r="F22" s="4"/>
      <c r="G22" s="4" t="s">
        <v>120</v>
      </c>
      <c r="H22" s="4"/>
      <c r="I22" s="4"/>
      <c r="J22" s="6">
        <v>67.4</v>
      </c>
      <c r="K22" s="6"/>
      <c r="L22" s="6"/>
    </row>
    <row r="23" spans="1:12">
      <c r="A23" s="4" t="s">
        <v>9</v>
      </c>
      <c r="B23" s="4" t="s">
        <v>63</v>
      </c>
      <c r="C23" s="4"/>
      <c r="D23" s="4" t="s">
        <v>129</v>
      </c>
      <c r="E23" s="4" t="s">
        <v>130</v>
      </c>
      <c r="F23" s="4"/>
      <c r="G23" s="4" t="s">
        <v>120</v>
      </c>
      <c r="H23" s="4"/>
      <c r="I23" s="4"/>
      <c r="J23" s="6">
        <v>64.4</v>
      </c>
      <c r="K23" s="6"/>
      <c r="L23" s="6"/>
    </row>
    <row r="24" spans="1:12">
      <c r="A24" s="4" t="s">
        <v>6</v>
      </c>
      <c r="B24" s="4" t="s">
        <v>53</v>
      </c>
      <c r="C24" s="4"/>
      <c r="D24" s="4" t="s">
        <v>129</v>
      </c>
      <c r="E24" s="4" t="s">
        <v>130</v>
      </c>
      <c r="F24" s="4"/>
      <c r="G24" s="4" t="s">
        <v>120</v>
      </c>
      <c r="H24" s="4"/>
      <c r="I24" s="4"/>
      <c r="J24" s="6">
        <v>62.6666666666667</v>
      </c>
      <c r="K24" s="6"/>
      <c r="L24" s="6"/>
    </row>
    <row r="25" spans="1:12">
      <c r="A25" s="4" t="s">
        <v>9</v>
      </c>
      <c r="B25" s="4" t="s">
        <v>27</v>
      </c>
      <c r="C25" s="4"/>
      <c r="D25" s="4" t="s">
        <v>129</v>
      </c>
      <c r="E25" s="4" t="s">
        <v>130</v>
      </c>
      <c r="F25" s="4"/>
      <c r="G25" s="4" t="s">
        <v>120</v>
      </c>
      <c r="H25" s="4"/>
      <c r="I25" s="4"/>
      <c r="J25" s="6">
        <v>92</v>
      </c>
      <c r="K25" s="6"/>
      <c r="L25" s="6"/>
    </row>
    <row r="26" spans="1:12">
      <c r="A26" s="4" t="s">
        <v>9</v>
      </c>
      <c r="B26" s="4" t="s">
        <v>131</v>
      </c>
      <c r="C26" s="4"/>
      <c r="D26" s="4" t="s">
        <v>129</v>
      </c>
      <c r="E26" s="4" t="s">
        <v>130</v>
      </c>
      <c r="F26" s="4"/>
      <c r="G26" s="4" t="s">
        <v>120</v>
      </c>
      <c r="H26" s="4"/>
      <c r="I26" s="4"/>
      <c r="J26" s="6">
        <v>58.6</v>
      </c>
      <c r="K26" s="6"/>
      <c r="L26" s="6"/>
    </row>
    <row r="27" spans="1:12">
      <c r="A27" s="4" t="s">
        <v>9</v>
      </c>
      <c r="B27" s="4" t="s">
        <v>20</v>
      </c>
      <c r="C27" s="4"/>
      <c r="D27" s="4" t="s">
        <v>129</v>
      </c>
      <c r="E27" s="4" t="s">
        <v>130</v>
      </c>
      <c r="F27" s="4"/>
      <c r="G27" s="4" t="s">
        <v>120</v>
      </c>
      <c r="H27" s="4"/>
      <c r="I27" s="4"/>
      <c r="J27" s="6">
        <v>65.6</v>
      </c>
      <c r="K27" s="6"/>
      <c r="L27" s="6"/>
    </row>
    <row r="28" spans="1:12">
      <c r="A28" s="4" t="s">
        <v>6</v>
      </c>
      <c r="B28" s="4" t="s">
        <v>49</v>
      </c>
      <c r="C28" s="4"/>
      <c r="D28" s="4" t="s">
        <v>129</v>
      </c>
      <c r="E28" s="4" t="s">
        <v>130</v>
      </c>
      <c r="F28" s="4"/>
      <c r="G28" s="4" t="s">
        <v>120</v>
      </c>
      <c r="H28" s="4"/>
      <c r="I28" s="4"/>
      <c r="J28" s="6">
        <v>75.4</v>
      </c>
      <c r="K28" s="6"/>
      <c r="L28" s="6"/>
    </row>
    <row r="29" spans="1:12">
      <c r="A29" s="4" t="s">
        <v>9</v>
      </c>
      <c r="B29" s="4" t="s">
        <v>13</v>
      </c>
      <c r="C29" s="4"/>
      <c r="D29" s="4" t="s">
        <v>129</v>
      </c>
      <c r="E29" s="4" t="s">
        <v>130</v>
      </c>
      <c r="F29" s="4"/>
      <c r="G29" s="4" t="s">
        <v>120</v>
      </c>
      <c r="H29" s="4"/>
      <c r="I29" s="4"/>
      <c r="J29" s="6">
        <v>90.8</v>
      </c>
      <c r="K29" s="6"/>
      <c r="L29" s="6"/>
    </row>
    <row r="30" spans="1:12">
      <c r="A30" s="4" t="s">
        <v>9</v>
      </c>
      <c r="B30" s="4" t="s">
        <v>21</v>
      </c>
      <c r="C30" s="4"/>
      <c r="D30" s="4" t="s">
        <v>129</v>
      </c>
      <c r="E30" s="4" t="s">
        <v>130</v>
      </c>
      <c r="F30" s="4"/>
      <c r="G30" s="4" t="s">
        <v>120</v>
      </c>
      <c r="H30" s="4"/>
      <c r="I30" s="4"/>
      <c r="J30" s="6">
        <v>63</v>
      </c>
      <c r="K30" s="6"/>
      <c r="L30" s="6"/>
    </row>
    <row r="31" spans="1:12">
      <c r="A31" s="4" t="s">
        <v>9</v>
      </c>
      <c r="B31" s="4" t="s">
        <v>38</v>
      </c>
      <c r="C31" s="4"/>
      <c r="D31" s="4" t="s">
        <v>129</v>
      </c>
      <c r="E31" s="4" t="s">
        <v>130</v>
      </c>
      <c r="F31" s="4"/>
      <c r="G31" s="4" t="s">
        <v>120</v>
      </c>
      <c r="H31" s="4"/>
      <c r="I31" s="4"/>
      <c r="J31" s="6">
        <v>91.6</v>
      </c>
      <c r="K31" s="6"/>
      <c r="L31" s="6"/>
    </row>
    <row r="32" spans="1:12">
      <c r="A32" s="4" t="s">
        <v>9</v>
      </c>
      <c r="B32" s="4" t="s">
        <v>61</v>
      </c>
      <c r="C32" s="4"/>
      <c r="D32" s="4" t="s">
        <v>129</v>
      </c>
      <c r="E32" s="4" t="s">
        <v>130</v>
      </c>
      <c r="F32" s="4"/>
      <c r="G32" s="4" t="s">
        <v>120</v>
      </c>
      <c r="H32" s="4"/>
      <c r="I32" s="4"/>
      <c r="J32" s="6">
        <v>80.6</v>
      </c>
      <c r="K32" s="6"/>
      <c r="L32" s="6"/>
    </row>
    <row r="33" spans="1:12">
      <c r="A33" s="4" t="s">
        <v>6</v>
      </c>
      <c r="B33" s="4" t="s">
        <v>42</v>
      </c>
      <c r="C33" s="4"/>
      <c r="D33" s="4" t="s">
        <v>129</v>
      </c>
      <c r="E33" s="4" t="s">
        <v>130</v>
      </c>
      <c r="F33" s="4"/>
      <c r="G33" s="4" t="s">
        <v>120</v>
      </c>
      <c r="H33" s="4"/>
      <c r="I33" s="4"/>
      <c r="J33" s="6">
        <v>72.6</v>
      </c>
      <c r="K33" s="6"/>
      <c r="L33" s="6"/>
    </row>
    <row r="34" spans="1:12">
      <c r="A34" s="4" t="s">
        <v>9</v>
      </c>
      <c r="B34" s="4" t="s">
        <v>29</v>
      </c>
      <c r="C34" s="4"/>
      <c r="D34" s="4" t="s">
        <v>129</v>
      </c>
      <c r="E34" s="4" t="s">
        <v>130</v>
      </c>
      <c r="F34" s="4"/>
      <c r="G34" s="4" t="s">
        <v>120</v>
      </c>
      <c r="H34" s="4"/>
      <c r="I34" s="4"/>
      <c r="J34" s="6">
        <v>72.2</v>
      </c>
      <c r="K34" s="6"/>
      <c r="L34" s="6"/>
    </row>
    <row r="35" spans="1:12">
      <c r="A35" s="4" t="s">
        <v>9</v>
      </c>
      <c r="B35" s="4" t="s">
        <v>30</v>
      </c>
      <c r="C35" s="4"/>
      <c r="D35" s="4" t="s">
        <v>129</v>
      </c>
      <c r="E35" s="4" t="s">
        <v>130</v>
      </c>
      <c r="F35" s="4"/>
      <c r="G35" s="4" t="s">
        <v>120</v>
      </c>
      <c r="H35" s="4"/>
      <c r="I35" s="4"/>
      <c r="J35" s="6">
        <v>91</v>
      </c>
      <c r="K35" s="6"/>
      <c r="L35" s="6"/>
    </row>
    <row r="36" spans="1:12">
      <c r="A36" s="4" t="s">
        <v>6</v>
      </c>
      <c r="B36" s="4" t="s">
        <v>8</v>
      </c>
      <c r="C36" s="4"/>
      <c r="D36" s="4" t="s">
        <v>129</v>
      </c>
      <c r="E36" s="4" t="s">
        <v>130</v>
      </c>
      <c r="F36" s="4"/>
      <c r="G36" s="4" t="s">
        <v>120</v>
      </c>
      <c r="H36" s="4"/>
      <c r="I36" s="4"/>
      <c r="J36" s="6">
        <v>73.4</v>
      </c>
      <c r="K36" s="6"/>
      <c r="L36" s="6"/>
    </row>
    <row r="37" spans="1:12">
      <c r="A37" s="4" t="s">
        <v>6</v>
      </c>
      <c r="B37" s="4" t="s">
        <v>43</v>
      </c>
      <c r="C37" s="4"/>
      <c r="D37" s="4" t="s">
        <v>129</v>
      </c>
      <c r="E37" s="4" t="s">
        <v>130</v>
      </c>
      <c r="F37" s="4"/>
      <c r="G37" s="4" t="s">
        <v>120</v>
      </c>
      <c r="H37" s="4"/>
      <c r="I37" s="4"/>
      <c r="J37" s="6">
        <v>90.8</v>
      </c>
      <c r="K37" s="6"/>
      <c r="L37" s="6"/>
    </row>
    <row r="38" spans="1:12">
      <c r="A38" s="4" t="s">
        <v>9</v>
      </c>
      <c r="B38" s="4" t="s">
        <v>34</v>
      </c>
      <c r="C38" s="4"/>
      <c r="D38" s="4" t="s">
        <v>129</v>
      </c>
      <c r="E38" s="4" t="s">
        <v>130</v>
      </c>
      <c r="F38" s="4"/>
      <c r="G38" s="4" t="s">
        <v>120</v>
      </c>
      <c r="H38" s="4"/>
      <c r="I38" s="4"/>
      <c r="J38" s="6">
        <v>94.6</v>
      </c>
      <c r="K38" s="6"/>
      <c r="L38" s="6"/>
    </row>
    <row r="39" spans="1:12">
      <c r="A39" s="4" t="s">
        <v>6</v>
      </c>
      <c r="B39" s="4" t="s">
        <v>47</v>
      </c>
      <c r="C39" s="4"/>
      <c r="D39" s="4" t="s">
        <v>129</v>
      </c>
      <c r="E39" s="4" t="s">
        <v>130</v>
      </c>
      <c r="F39" s="4"/>
      <c r="G39" s="4" t="s">
        <v>120</v>
      </c>
      <c r="H39" s="4"/>
      <c r="I39" s="4"/>
      <c r="J39" s="6">
        <v>90.2</v>
      </c>
      <c r="K39" s="6"/>
      <c r="L39" s="6"/>
    </row>
    <row r="40" spans="1:12">
      <c r="A40" s="4" t="s">
        <v>9</v>
      </c>
      <c r="B40" s="4" t="s">
        <v>16</v>
      </c>
      <c r="C40" s="4"/>
      <c r="D40" s="4" t="s">
        <v>129</v>
      </c>
      <c r="E40" s="4" t="s">
        <v>130</v>
      </c>
      <c r="F40" s="4"/>
      <c r="G40" s="4" t="s">
        <v>120</v>
      </c>
      <c r="H40" s="4"/>
      <c r="I40" s="4"/>
      <c r="J40" s="6">
        <v>67.6</v>
      </c>
      <c r="K40" s="6"/>
      <c r="L40" s="6"/>
    </row>
    <row r="41" spans="1:12">
      <c r="A41" s="4" t="s">
        <v>9</v>
      </c>
      <c r="B41" s="4" t="s">
        <v>132</v>
      </c>
      <c r="C41" s="4"/>
      <c r="D41" s="4" t="s">
        <v>129</v>
      </c>
      <c r="E41" s="4" t="s">
        <v>130</v>
      </c>
      <c r="F41" s="4"/>
      <c r="G41" s="4" t="s">
        <v>120</v>
      </c>
      <c r="H41" s="4"/>
      <c r="I41" s="4"/>
      <c r="J41" s="6">
        <v>94</v>
      </c>
      <c r="K41" s="6"/>
      <c r="L41" s="6"/>
    </row>
    <row r="42" spans="1:12">
      <c r="A42" s="4" t="s">
        <v>6</v>
      </c>
      <c r="B42" s="4" t="s">
        <v>57</v>
      </c>
      <c r="C42" s="4"/>
      <c r="D42" s="4" t="s">
        <v>129</v>
      </c>
      <c r="E42" s="4" t="s">
        <v>130</v>
      </c>
      <c r="F42" s="4"/>
      <c r="G42" s="4" t="s">
        <v>120</v>
      </c>
      <c r="H42" s="4"/>
      <c r="I42" s="4"/>
      <c r="J42" s="6">
        <v>65</v>
      </c>
      <c r="K42" s="6"/>
      <c r="L42" s="6"/>
    </row>
    <row r="43" spans="1:12">
      <c r="A43" s="4" t="s">
        <v>9</v>
      </c>
      <c r="B43" s="4" t="s">
        <v>10</v>
      </c>
      <c r="C43" s="4"/>
      <c r="D43" s="4" t="s">
        <v>129</v>
      </c>
      <c r="E43" s="4" t="s">
        <v>130</v>
      </c>
      <c r="F43" s="4"/>
      <c r="G43" s="4" t="s">
        <v>120</v>
      </c>
      <c r="H43" s="4"/>
      <c r="I43" s="4"/>
      <c r="J43" s="6">
        <v>75</v>
      </c>
      <c r="K43" s="6"/>
      <c r="L43" s="6"/>
    </row>
    <row r="44" spans="1:12">
      <c r="A44" s="4" t="s">
        <v>9</v>
      </c>
      <c r="B44" s="4" t="s">
        <v>17</v>
      </c>
      <c r="C44" s="4"/>
      <c r="D44" s="4" t="s">
        <v>129</v>
      </c>
      <c r="E44" s="4" t="s">
        <v>130</v>
      </c>
      <c r="F44" s="4"/>
      <c r="G44" s="4" t="s">
        <v>120</v>
      </c>
      <c r="H44" s="4"/>
      <c r="I44" s="4"/>
      <c r="J44" s="6">
        <v>68.6</v>
      </c>
      <c r="K44" s="6"/>
      <c r="L44" s="6"/>
    </row>
    <row r="45" spans="1:12">
      <c r="A45" s="4" t="s">
        <v>6</v>
      </c>
      <c r="B45" s="4" t="s">
        <v>44</v>
      </c>
      <c r="C45" s="4"/>
      <c r="D45" s="4" t="s">
        <v>129</v>
      </c>
      <c r="E45" s="4" t="s">
        <v>130</v>
      </c>
      <c r="F45" s="4"/>
      <c r="G45" s="4" t="s">
        <v>120</v>
      </c>
      <c r="H45" s="4"/>
      <c r="I45" s="4"/>
      <c r="J45" s="6">
        <v>91.2</v>
      </c>
      <c r="K45" s="6"/>
      <c r="L45" s="6"/>
    </row>
    <row r="46" spans="1:12">
      <c r="A46" s="4" t="s">
        <v>9</v>
      </c>
      <c r="B46" s="4" t="s">
        <v>64</v>
      </c>
      <c r="C46" s="4"/>
      <c r="D46" s="4" t="s">
        <v>129</v>
      </c>
      <c r="E46" s="4" t="s">
        <v>130</v>
      </c>
      <c r="F46" s="4"/>
      <c r="G46" s="4" t="s">
        <v>120</v>
      </c>
      <c r="H46" s="4"/>
      <c r="I46" s="4"/>
      <c r="J46" s="6">
        <v>91</v>
      </c>
      <c r="K46" s="6"/>
      <c r="L46" s="6"/>
    </row>
    <row r="47" spans="1:12">
      <c r="A47" s="4" t="s">
        <v>6</v>
      </c>
      <c r="B47" s="4" t="s">
        <v>45</v>
      </c>
      <c r="C47" s="4"/>
      <c r="D47" s="4" t="s">
        <v>129</v>
      </c>
      <c r="E47" s="4" t="s">
        <v>130</v>
      </c>
      <c r="F47" s="4"/>
      <c r="G47" s="4" t="s">
        <v>120</v>
      </c>
      <c r="H47" s="4"/>
      <c r="I47" s="4"/>
      <c r="J47" s="6">
        <v>67</v>
      </c>
      <c r="K47" s="6"/>
      <c r="L47" s="6"/>
    </row>
    <row r="48" spans="1:12">
      <c r="A48" s="4" t="s">
        <v>9</v>
      </c>
      <c r="B48" s="4" t="s">
        <v>23</v>
      </c>
      <c r="C48" s="4"/>
      <c r="D48" s="4" t="s">
        <v>129</v>
      </c>
      <c r="E48" s="4" t="s">
        <v>130</v>
      </c>
      <c r="F48" s="4"/>
      <c r="G48" s="4" t="s">
        <v>120</v>
      </c>
      <c r="H48" s="4"/>
      <c r="I48" s="4"/>
      <c r="J48" s="6">
        <v>75.4</v>
      </c>
      <c r="K48" s="6"/>
      <c r="L48" s="6"/>
    </row>
    <row r="49" spans="1:12">
      <c r="A49" s="4" t="s">
        <v>6</v>
      </c>
      <c r="B49" s="4" t="s">
        <v>59</v>
      </c>
      <c r="C49" s="4"/>
      <c r="D49" s="4" t="s">
        <v>129</v>
      </c>
      <c r="E49" s="4" t="s">
        <v>130</v>
      </c>
      <c r="F49" s="4"/>
      <c r="G49" s="4" t="s">
        <v>120</v>
      </c>
      <c r="H49" s="4"/>
      <c r="I49" s="4"/>
      <c r="J49" s="6">
        <v>93.4</v>
      </c>
      <c r="K49" s="6"/>
      <c r="L49" s="6"/>
    </row>
    <row r="50" spans="1:12">
      <c r="A50" s="4" t="s">
        <v>6</v>
      </c>
      <c r="B50" s="4" t="s">
        <v>52</v>
      </c>
      <c r="C50" s="4"/>
      <c r="D50" s="4" t="s">
        <v>129</v>
      </c>
      <c r="E50" s="4" t="s">
        <v>130</v>
      </c>
      <c r="F50" s="4"/>
      <c r="G50" s="4" t="s">
        <v>120</v>
      </c>
      <c r="H50" s="4"/>
      <c r="I50" s="4"/>
      <c r="J50" s="6">
        <v>89.8</v>
      </c>
      <c r="K50" s="6"/>
      <c r="L50" s="6"/>
    </row>
    <row r="51" spans="1:12">
      <c r="A51" s="4" t="s">
        <v>9</v>
      </c>
      <c r="B51" s="4" t="s">
        <v>35</v>
      </c>
      <c r="C51" s="4"/>
      <c r="D51" s="4" t="s">
        <v>129</v>
      </c>
      <c r="E51" s="4" t="s">
        <v>130</v>
      </c>
      <c r="F51" s="4"/>
      <c r="G51" s="4" t="s">
        <v>120</v>
      </c>
      <c r="H51" s="4"/>
      <c r="I51" s="4"/>
      <c r="J51" s="6">
        <v>64.8</v>
      </c>
      <c r="K51" s="6"/>
      <c r="L51" s="6"/>
    </row>
    <row r="52" spans="1:12">
      <c r="A52" s="4" t="s">
        <v>6</v>
      </c>
      <c r="B52" s="4" t="s">
        <v>48</v>
      </c>
      <c r="C52" s="4"/>
      <c r="D52" s="4" t="s">
        <v>129</v>
      </c>
      <c r="E52" s="4" t="s">
        <v>130</v>
      </c>
      <c r="F52" s="4"/>
      <c r="G52" s="4" t="s">
        <v>120</v>
      </c>
      <c r="H52" s="4"/>
      <c r="I52" s="4"/>
      <c r="J52" s="6">
        <v>68</v>
      </c>
      <c r="K52" s="6"/>
      <c r="L52" s="6"/>
    </row>
    <row r="53" spans="1:12">
      <c r="A53" s="4" t="s">
        <v>9</v>
      </c>
      <c r="B53" s="4" t="s">
        <v>31</v>
      </c>
      <c r="C53" s="4"/>
      <c r="D53" s="4" t="s">
        <v>129</v>
      </c>
      <c r="E53" s="4" t="s">
        <v>130</v>
      </c>
      <c r="F53" s="4"/>
      <c r="G53" s="4" t="s">
        <v>120</v>
      </c>
      <c r="H53" s="4"/>
      <c r="I53" s="4"/>
      <c r="J53" s="6">
        <v>68.4</v>
      </c>
      <c r="K53" s="6"/>
      <c r="L53" s="6"/>
    </row>
    <row r="54" spans="1:12">
      <c r="A54" s="4" t="s">
        <v>9</v>
      </c>
      <c r="B54" s="4" t="s">
        <v>19</v>
      </c>
      <c r="C54" s="4"/>
      <c r="D54" s="4" t="s">
        <v>129</v>
      </c>
      <c r="E54" s="4" t="s">
        <v>130</v>
      </c>
      <c r="F54" s="4"/>
      <c r="G54" s="4" t="s">
        <v>120</v>
      </c>
      <c r="H54" s="4"/>
      <c r="I54" s="4"/>
      <c r="J54" s="6">
        <v>64</v>
      </c>
      <c r="K54" s="6"/>
      <c r="L54" s="6"/>
    </row>
    <row r="55" spans="1:12">
      <c r="A55" s="4" t="s">
        <v>6</v>
      </c>
      <c r="B55" s="4" t="s">
        <v>41</v>
      </c>
      <c r="C55" s="4"/>
      <c r="D55" s="4" t="s">
        <v>129</v>
      </c>
      <c r="E55" s="4" t="s">
        <v>130</v>
      </c>
      <c r="F55" s="4"/>
      <c r="G55" s="4" t="s">
        <v>120</v>
      </c>
      <c r="H55" s="4"/>
      <c r="I55" s="4"/>
      <c r="J55" s="6">
        <v>90.4</v>
      </c>
      <c r="K55" s="6"/>
      <c r="L55" s="6"/>
    </row>
    <row r="56" spans="1:12">
      <c r="A56" s="4" t="s">
        <v>6</v>
      </c>
      <c r="B56" s="4" t="s">
        <v>50</v>
      </c>
      <c r="C56" s="4"/>
      <c r="D56" s="4" t="s">
        <v>129</v>
      </c>
      <c r="E56" s="4" t="s">
        <v>130</v>
      </c>
      <c r="F56" s="4"/>
      <c r="G56" s="4" t="s">
        <v>120</v>
      </c>
      <c r="H56" s="4"/>
      <c r="I56" s="4"/>
      <c r="J56" s="6">
        <v>73.2</v>
      </c>
      <c r="K56" s="6"/>
      <c r="L56" s="6"/>
    </row>
    <row r="57" spans="1:12">
      <c r="A57" s="4" t="s">
        <v>9</v>
      </c>
      <c r="B57" s="4" t="s">
        <v>60</v>
      </c>
      <c r="C57" s="4"/>
      <c r="D57" s="4" t="s">
        <v>129</v>
      </c>
      <c r="E57" s="4" t="s">
        <v>130</v>
      </c>
      <c r="F57" s="4"/>
      <c r="G57" s="4" t="s">
        <v>120</v>
      </c>
      <c r="H57" s="4"/>
      <c r="I57" s="4"/>
      <c r="J57" s="6">
        <v>64.4</v>
      </c>
      <c r="K57" s="6"/>
      <c r="L57" s="6"/>
    </row>
    <row r="58" spans="1:12">
      <c r="A58" s="4" t="s">
        <v>9</v>
      </c>
      <c r="B58" s="4" t="s">
        <v>24</v>
      </c>
      <c r="C58" s="4"/>
      <c r="D58" s="4" t="s">
        <v>129</v>
      </c>
      <c r="E58" s="4" t="s">
        <v>130</v>
      </c>
      <c r="F58" s="4"/>
      <c r="G58" s="4" t="s">
        <v>120</v>
      </c>
      <c r="H58" s="4"/>
      <c r="I58" s="4"/>
      <c r="J58" s="6">
        <v>88.4</v>
      </c>
      <c r="K58" s="6"/>
      <c r="L58" s="6"/>
    </row>
    <row r="59" spans="1:12">
      <c r="A59" s="4" t="s">
        <v>6</v>
      </c>
      <c r="B59" s="4" t="s">
        <v>39</v>
      </c>
      <c r="C59" s="4"/>
      <c r="D59" s="4" t="s">
        <v>129</v>
      </c>
      <c r="E59" s="4" t="s">
        <v>130</v>
      </c>
      <c r="F59" s="4"/>
      <c r="G59" s="4" t="s">
        <v>120</v>
      </c>
      <c r="H59" s="4"/>
      <c r="I59" s="4"/>
      <c r="J59" s="6">
        <v>64.2</v>
      </c>
      <c r="K59" s="6"/>
      <c r="L59" s="6"/>
    </row>
    <row r="60" spans="1:12">
      <c r="A60" s="4" t="s">
        <v>6</v>
      </c>
      <c r="B60" s="4" t="s">
        <v>54</v>
      </c>
      <c r="C60" s="4"/>
      <c r="D60" s="4" t="s">
        <v>129</v>
      </c>
      <c r="E60" s="4" t="s">
        <v>130</v>
      </c>
      <c r="F60" s="4"/>
      <c r="G60" s="4" t="s">
        <v>120</v>
      </c>
      <c r="H60" s="4"/>
      <c r="I60" s="4"/>
      <c r="J60" s="6">
        <v>88.2</v>
      </c>
      <c r="K60" s="6"/>
      <c r="L60" s="6"/>
    </row>
    <row r="61" spans="1:12">
      <c r="A61" s="4" t="s">
        <v>9</v>
      </c>
      <c r="B61" s="4" t="s">
        <v>35</v>
      </c>
      <c r="C61" s="4"/>
      <c r="D61" s="4" t="s">
        <v>129</v>
      </c>
      <c r="E61" s="4" t="s">
        <v>130</v>
      </c>
      <c r="F61" s="4"/>
      <c r="G61" s="4" t="s">
        <v>107</v>
      </c>
      <c r="H61" s="4"/>
      <c r="I61" s="4"/>
      <c r="J61" s="6">
        <v>65</v>
      </c>
      <c r="K61" s="6"/>
      <c r="L61" s="6"/>
    </row>
    <row r="62" spans="1:12">
      <c r="A62" s="4" t="s">
        <v>9</v>
      </c>
      <c r="B62" s="4" t="s">
        <v>24</v>
      </c>
      <c r="C62" s="4"/>
      <c r="D62" s="4" t="s">
        <v>129</v>
      </c>
      <c r="E62" s="4" t="s">
        <v>130</v>
      </c>
      <c r="F62" s="4"/>
      <c r="G62" s="4" t="s">
        <v>107</v>
      </c>
      <c r="H62" s="4"/>
      <c r="I62" s="4"/>
      <c r="J62" s="6">
        <v>75</v>
      </c>
      <c r="K62" s="6"/>
      <c r="L62" s="6"/>
    </row>
    <row r="63" spans="1:12">
      <c r="A63" s="4" t="s">
        <v>9</v>
      </c>
      <c r="B63" s="4" t="s">
        <v>34</v>
      </c>
      <c r="C63" s="4"/>
      <c r="D63" s="4" t="s">
        <v>129</v>
      </c>
      <c r="E63" s="4" t="s">
        <v>130</v>
      </c>
      <c r="F63" s="4"/>
      <c r="G63" s="4" t="s">
        <v>107</v>
      </c>
      <c r="H63" s="4"/>
      <c r="I63" s="4"/>
      <c r="J63" s="6">
        <v>95</v>
      </c>
      <c r="K63" s="6"/>
      <c r="L63" s="6"/>
    </row>
    <row r="64" spans="1:12">
      <c r="A64" s="4" t="s">
        <v>9</v>
      </c>
      <c r="B64" s="4" t="s">
        <v>64</v>
      </c>
      <c r="C64" s="4"/>
      <c r="D64" s="4" t="s">
        <v>129</v>
      </c>
      <c r="E64" s="4" t="s">
        <v>130</v>
      </c>
      <c r="F64" s="4"/>
      <c r="G64" s="4" t="s">
        <v>107</v>
      </c>
      <c r="H64" s="4"/>
      <c r="I64" s="4"/>
      <c r="J64" s="6">
        <v>75</v>
      </c>
      <c r="K64" s="6"/>
      <c r="L64" s="6"/>
    </row>
    <row r="65" spans="1:12">
      <c r="A65" s="4" t="s">
        <v>9</v>
      </c>
      <c r="B65" s="4" t="s">
        <v>19</v>
      </c>
      <c r="C65" s="4"/>
      <c r="D65" s="4" t="s">
        <v>129</v>
      </c>
      <c r="E65" s="4" t="s">
        <v>130</v>
      </c>
      <c r="F65" s="4"/>
      <c r="G65" s="4" t="s">
        <v>107</v>
      </c>
      <c r="H65" s="4"/>
      <c r="I65" s="4"/>
      <c r="J65" s="6">
        <v>65</v>
      </c>
      <c r="K65" s="6"/>
      <c r="L65" s="6"/>
    </row>
    <row r="66" spans="1:12">
      <c r="A66" s="4" t="s">
        <v>9</v>
      </c>
      <c r="B66" s="4" t="s">
        <v>63</v>
      </c>
      <c r="C66" s="4"/>
      <c r="D66" s="4" t="s">
        <v>129</v>
      </c>
      <c r="E66" s="4" t="s">
        <v>130</v>
      </c>
      <c r="F66" s="4"/>
      <c r="G66" s="4" t="s">
        <v>107</v>
      </c>
      <c r="H66" s="4"/>
      <c r="I66" s="4"/>
      <c r="J66" s="6">
        <v>65</v>
      </c>
      <c r="K66" s="6"/>
      <c r="L66" s="6"/>
    </row>
    <row r="67" spans="1:12">
      <c r="A67" s="4" t="s">
        <v>9</v>
      </c>
      <c r="B67" s="4" t="s">
        <v>60</v>
      </c>
      <c r="C67" s="4"/>
      <c r="D67" s="4" t="s">
        <v>129</v>
      </c>
      <c r="E67" s="4" t="s">
        <v>130</v>
      </c>
      <c r="F67" s="4"/>
      <c r="G67" s="4" t="s">
        <v>107</v>
      </c>
      <c r="H67" s="4"/>
      <c r="I67" s="4"/>
      <c r="J67" s="6">
        <v>65</v>
      </c>
      <c r="K67" s="6"/>
      <c r="L67" s="6"/>
    </row>
    <row r="68" spans="1:12">
      <c r="A68" s="4" t="s">
        <v>9</v>
      </c>
      <c r="B68" s="4" t="s">
        <v>62</v>
      </c>
      <c r="C68" s="4"/>
      <c r="D68" s="4" t="s">
        <v>129</v>
      </c>
      <c r="E68" s="4" t="s">
        <v>130</v>
      </c>
      <c r="F68" s="4"/>
      <c r="G68" s="4" t="s">
        <v>107</v>
      </c>
      <c r="H68" s="4"/>
      <c r="I68" s="4"/>
      <c r="J68" s="6">
        <v>0</v>
      </c>
      <c r="K68" s="6"/>
      <c r="L68" s="6"/>
    </row>
    <row r="69" spans="1:12">
      <c r="A69" s="4" t="s">
        <v>9</v>
      </c>
      <c r="B69" s="4" t="s">
        <v>13</v>
      </c>
      <c r="C69" s="4"/>
      <c r="D69" s="4" t="s">
        <v>129</v>
      </c>
      <c r="E69" s="4" t="s">
        <v>130</v>
      </c>
      <c r="F69" s="4"/>
      <c r="G69" s="4" t="s">
        <v>107</v>
      </c>
      <c r="H69" s="4"/>
      <c r="I69" s="4"/>
      <c r="J69" s="6">
        <v>65</v>
      </c>
      <c r="K69" s="6"/>
      <c r="L69" s="6"/>
    </row>
    <row r="70" spans="1:12">
      <c r="A70" s="4" t="s">
        <v>9</v>
      </c>
      <c r="B70" s="4" t="s">
        <v>20</v>
      </c>
      <c r="C70" s="4"/>
      <c r="D70" s="4" t="s">
        <v>129</v>
      </c>
      <c r="E70" s="4" t="s">
        <v>130</v>
      </c>
      <c r="F70" s="4"/>
      <c r="G70" s="4" t="s">
        <v>107</v>
      </c>
      <c r="H70" s="4"/>
      <c r="I70" s="4"/>
      <c r="J70" s="6">
        <v>65</v>
      </c>
      <c r="K70" s="6"/>
      <c r="L70" s="6"/>
    </row>
    <row r="71" spans="1:12">
      <c r="A71" s="4" t="s">
        <v>6</v>
      </c>
      <c r="B71" s="4" t="s">
        <v>37</v>
      </c>
      <c r="C71" s="4"/>
      <c r="D71" s="4" t="s">
        <v>129</v>
      </c>
      <c r="E71" s="4" t="s">
        <v>130</v>
      </c>
      <c r="F71" s="4"/>
      <c r="G71" s="4" t="s">
        <v>107</v>
      </c>
      <c r="H71" s="4"/>
      <c r="I71" s="4"/>
      <c r="J71" s="6">
        <v>65</v>
      </c>
      <c r="K71" s="6"/>
      <c r="L71" s="6"/>
    </row>
    <row r="72" spans="1:12">
      <c r="A72" s="4" t="s">
        <v>6</v>
      </c>
      <c r="B72" s="4" t="s">
        <v>47</v>
      </c>
      <c r="C72" s="4"/>
      <c r="D72" s="4" t="s">
        <v>129</v>
      </c>
      <c r="E72" s="4" t="s">
        <v>130</v>
      </c>
      <c r="F72" s="4"/>
      <c r="G72" s="4" t="s">
        <v>107</v>
      </c>
      <c r="H72" s="4"/>
      <c r="I72" s="4"/>
      <c r="J72" s="6">
        <v>75</v>
      </c>
      <c r="K72" s="6"/>
      <c r="L72" s="6"/>
    </row>
    <row r="73" spans="1:12">
      <c r="A73" s="4" t="s">
        <v>6</v>
      </c>
      <c r="B73" s="4" t="s">
        <v>52</v>
      </c>
      <c r="C73" s="4"/>
      <c r="D73" s="4" t="s">
        <v>129</v>
      </c>
      <c r="E73" s="4" t="s">
        <v>130</v>
      </c>
      <c r="F73" s="4"/>
      <c r="G73" s="4" t="s">
        <v>107</v>
      </c>
      <c r="H73" s="4"/>
      <c r="I73" s="4"/>
      <c r="J73" s="6">
        <v>65</v>
      </c>
      <c r="K73" s="6"/>
      <c r="L73" s="6"/>
    </row>
    <row r="74" spans="1:12">
      <c r="A74" s="4" t="s">
        <v>6</v>
      </c>
      <c r="B74" s="4" t="s">
        <v>55</v>
      </c>
      <c r="C74" s="4"/>
      <c r="D74" s="4" t="s">
        <v>129</v>
      </c>
      <c r="E74" s="4" t="s">
        <v>130</v>
      </c>
      <c r="F74" s="4"/>
      <c r="G74" s="4" t="s">
        <v>107</v>
      </c>
      <c r="H74" s="4"/>
      <c r="I74" s="4"/>
      <c r="J74" s="6">
        <v>65</v>
      </c>
      <c r="K74" s="6"/>
      <c r="L74" s="6"/>
    </row>
    <row r="75" spans="1:12">
      <c r="A75" s="4" t="s">
        <v>6</v>
      </c>
      <c r="B75" s="4" t="s">
        <v>11</v>
      </c>
      <c r="C75" s="4"/>
      <c r="D75" s="4" t="s">
        <v>129</v>
      </c>
      <c r="E75" s="4" t="s">
        <v>130</v>
      </c>
      <c r="F75" s="4"/>
      <c r="G75" s="4" t="s">
        <v>107</v>
      </c>
      <c r="H75" s="4"/>
      <c r="I75" s="4"/>
      <c r="J75" s="6">
        <v>0</v>
      </c>
      <c r="K75" s="6"/>
      <c r="L75" s="6"/>
    </row>
    <row r="76" spans="1:12">
      <c r="A76" s="4" t="s">
        <v>9</v>
      </c>
      <c r="B76" s="4" t="s">
        <v>12</v>
      </c>
      <c r="C76" s="4"/>
      <c r="D76" s="4" t="s">
        <v>129</v>
      </c>
      <c r="E76" s="4" t="s">
        <v>130</v>
      </c>
      <c r="F76" s="4"/>
      <c r="G76" s="4" t="s">
        <v>107</v>
      </c>
      <c r="H76" s="4"/>
      <c r="I76" s="4"/>
      <c r="J76" s="6">
        <v>75</v>
      </c>
      <c r="K76" s="6"/>
      <c r="L76" s="6"/>
    </row>
    <row r="77" spans="1:12">
      <c r="A77" s="4" t="s">
        <v>6</v>
      </c>
      <c r="B77" s="4" t="s">
        <v>36</v>
      </c>
      <c r="C77" s="4"/>
      <c r="D77" s="4" t="s">
        <v>129</v>
      </c>
      <c r="E77" s="4" t="s">
        <v>130</v>
      </c>
      <c r="F77" s="4"/>
      <c r="G77" s="4" t="s">
        <v>107</v>
      </c>
      <c r="H77" s="4"/>
      <c r="I77" s="4"/>
      <c r="J77" s="6">
        <v>65</v>
      </c>
      <c r="K77" s="6"/>
      <c r="L77" s="6"/>
    </row>
    <row r="78" spans="1:12">
      <c r="A78" s="4" t="s">
        <v>6</v>
      </c>
      <c r="B78" s="4" t="s">
        <v>44</v>
      </c>
      <c r="C78" s="4"/>
      <c r="D78" s="4" t="s">
        <v>129</v>
      </c>
      <c r="E78" s="4" t="s">
        <v>130</v>
      </c>
      <c r="F78" s="4"/>
      <c r="G78" s="4" t="s">
        <v>107</v>
      </c>
      <c r="H78" s="4"/>
      <c r="I78" s="4"/>
      <c r="J78" s="6">
        <v>75</v>
      </c>
      <c r="K78" s="6"/>
      <c r="L78" s="6"/>
    </row>
    <row r="79" spans="1:12">
      <c r="A79" s="4" t="s">
        <v>9</v>
      </c>
      <c r="B79" s="4" t="s">
        <v>32</v>
      </c>
      <c r="C79" s="4"/>
      <c r="D79" s="4" t="s">
        <v>129</v>
      </c>
      <c r="E79" s="4" t="s">
        <v>130</v>
      </c>
      <c r="F79" s="4"/>
      <c r="G79" s="4" t="s">
        <v>107</v>
      </c>
      <c r="H79" s="4"/>
      <c r="I79" s="4"/>
      <c r="J79" s="6">
        <v>65</v>
      </c>
      <c r="K79" s="6"/>
      <c r="L79" s="6"/>
    </row>
    <row r="80" spans="1:12">
      <c r="A80" s="4" t="s">
        <v>6</v>
      </c>
      <c r="B80" s="4" t="s">
        <v>45</v>
      </c>
      <c r="C80" s="4"/>
      <c r="D80" s="4" t="s">
        <v>129</v>
      </c>
      <c r="E80" s="4" t="s">
        <v>130</v>
      </c>
      <c r="F80" s="4"/>
      <c r="G80" s="4" t="s">
        <v>107</v>
      </c>
      <c r="H80" s="4"/>
      <c r="I80" s="4"/>
      <c r="J80" s="6">
        <v>75</v>
      </c>
      <c r="K80" s="6"/>
      <c r="L80" s="6"/>
    </row>
    <row r="81" spans="1:12">
      <c r="A81" s="4" t="s">
        <v>6</v>
      </c>
      <c r="B81" s="4" t="s">
        <v>50</v>
      </c>
      <c r="C81" s="4"/>
      <c r="D81" s="4" t="s">
        <v>129</v>
      </c>
      <c r="E81" s="4" t="s">
        <v>130</v>
      </c>
      <c r="F81" s="4"/>
      <c r="G81" s="4" t="s">
        <v>107</v>
      </c>
      <c r="H81" s="4"/>
      <c r="I81" s="4"/>
      <c r="J81" s="6">
        <v>75</v>
      </c>
      <c r="K81" s="6"/>
      <c r="L81" s="6"/>
    </row>
    <row r="82" spans="1:12">
      <c r="A82" s="4" t="s">
        <v>9</v>
      </c>
      <c r="B82" s="4" t="s">
        <v>16</v>
      </c>
      <c r="C82" s="4"/>
      <c r="D82" s="4" t="s">
        <v>129</v>
      </c>
      <c r="E82" s="4" t="s">
        <v>130</v>
      </c>
      <c r="F82" s="4"/>
      <c r="G82" s="4" t="s">
        <v>107</v>
      </c>
      <c r="H82" s="4"/>
      <c r="I82" s="4"/>
      <c r="J82" s="6">
        <v>85</v>
      </c>
      <c r="K82" s="6"/>
      <c r="L82" s="6"/>
    </row>
    <row r="83" spans="1:12">
      <c r="A83" s="4" t="s">
        <v>6</v>
      </c>
      <c r="B83" s="4" t="s">
        <v>42</v>
      </c>
      <c r="C83" s="4"/>
      <c r="D83" s="4" t="s">
        <v>129</v>
      </c>
      <c r="E83" s="4" t="s">
        <v>130</v>
      </c>
      <c r="F83" s="4"/>
      <c r="G83" s="4" t="s">
        <v>107</v>
      </c>
      <c r="H83" s="4"/>
      <c r="I83" s="4"/>
      <c r="J83" s="6">
        <v>65</v>
      </c>
      <c r="K83" s="6"/>
      <c r="L83" s="6"/>
    </row>
    <row r="84" spans="1:12">
      <c r="A84" s="4" t="s">
        <v>6</v>
      </c>
      <c r="B84" s="4" t="s">
        <v>48</v>
      </c>
      <c r="C84" s="4"/>
      <c r="D84" s="4" t="s">
        <v>129</v>
      </c>
      <c r="E84" s="4" t="s">
        <v>130</v>
      </c>
      <c r="F84" s="4"/>
      <c r="G84" s="4" t="s">
        <v>107</v>
      </c>
      <c r="H84" s="4"/>
      <c r="I84" s="4"/>
      <c r="J84" s="6">
        <v>75</v>
      </c>
      <c r="K84" s="6"/>
      <c r="L84" s="6"/>
    </row>
    <row r="85" spans="1:12">
      <c r="A85" s="4" t="s">
        <v>6</v>
      </c>
      <c r="B85" s="4" t="s">
        <v>54</v>
      </c>
      <c r="C85" s="4"/>
      <c r="D85" s="4" t="s">
        <v>129</v>
      </c>
      <c r="E85" s="4" t="s">
        <v>130</v>
      </c>
      <c r="F85" s="4"/>
      <c r="G85" s="4" t="s">
        <v>107</v>
      </c>
      <c r="H85" s="4"/>
      <c r="I85" s="4"/>
      <c r="J85" s="6">
        <v>75</v>
      </c>
      <c r="K85" s="6"/>
      <c r="L85" s="6"/>
    </row>
    <row r="86" spans="1:12">
      <c r="A86" s="4" t="s">
        <v>6</v>
      </c>
      <c r="B86" s="4" t="s">
        <v>57</v>
      </c>
      <c r="C86" s="4"/>
      <c r="D86" s="4" t="s">
        <v>129</v>
      </c>
      <c r="E86" s="4" t="s">
        <v>130</v>
      </c>
      <c r="F86" s="4"/>
      <c r="G86" s="4" t="s">
        <v>107</v>
      </c>
      <c r="H86" s="4"/>
      <c r="I86" s="4"/>
      <c r="J86" s="6">
        <v>75</v>
      </c>
      <c r="K86" s="6"/>
      <c r="L86" s="6"/>
    </row>
    <row r="87" spans="1:12">
      <c r="A87" s="4" t="s">
        <v>9</v>
      </c>
      <c r="B87" s="4" t="s">
        <v>17</v>
      </c>
      <c r="C87" s="4"/>
      <c r="D87" s="4" t="s">
        <v>129</v>
      </c>
      <c r="E87" s="4" t="s">
        <v>130</v>
      </c>
      <c r="F87" s="4"/>
      <c r="G87" s="4" t="s">
        <v>107</v>
      </c>
      <c r="H87" s="4"/>
      <c r="I87" s="4"/>
      <c r="J87" s="6">
        <v>85</v>
      </c>
      <c r="K87" s="6"/>
      <c r="L87" s="6"/>
    </row>
    <row r="88" spans="1:12">
      <c r="A88" s="4" t="s">
        <v>6</v>
      </c>
      <c r="B88" s="4" t="s">
        <v>41</v>
      </c>
      <c r="C88" s="4"/>
      <c r="D88" s="4" t="s">
        <v>129</v>
      </c>
      <c r="E88" s="4" t="s">
        <v>130</v>
      </c>
      <c r="F88" s="4"/>
      <c r="G88" s="4" t="s">
        <v>107</v>
      </c>
      <c r="H88" s="4"/>
      <c r="I88" s="4"/>
      <c r="J88" s="6">
        <v>75</v>
      </c>
      <c r="K88" s="6"/>
      <c r="L88" s="6"/>
    </row>
    <row r="89" spans="1:12">
      <c r="A89" s="4" t="s">
        <v>6</v>
      </c>
      <c r="B89" s="4" t="s">
        <v>46</v>
      </c>
      <c r="C89" s="4"/>
      <c r="D89" s="4" t="s">
        <v>129</v>
      </c>
      <c r="E89" s="4" t="s">
        <v>130</v>
      </c>
      <c r="F89" s="4"/>
      <c r="G89" s="4" t="s">
        <v>107</v>
      </c>
      <c r="H89" s="4"/>
      <c r="I89" s="4"/>
      <c r="J89" s="6">
        <v>75</v>
      </c>
      <c r="K89" s="6"/>
      <c r="L89" s="6"/>
    </row>
    <row r="90" spans="1:12">
      <c r="A90" s="4" t="s">
        <v>6</v>
      </c>
      <c r="B90" s="4" t="s">
        <v>58</v>
      </c>
      <c r="C90" s="4"/>
      <c r="D90" s="4" t="s">
        <v>129</v>
      </c>
      <c r="E90" s="4" t="s">
        <v>130</v>
      </c>
      <c r="F90" s="4"/>
      <c r="G90" s="4" t="s">
        <v>107</v>
      </c>
      <c r="H90" s="4"/>
      <c r="I90" s="4"/>
      <c r="J90" s="6">
        <v>65</v>
      </c>
      <c r="K90" s="6"/>
      <c r="L90" s="6"/>
    </row>
    <row r="91" spans="1:12">
      <c r="A91" s="4" t="s">
        <v>6</v>
      </c>
      <c r="B91" s="4" t="s">
        <v>49</v>
      </c>
      <c r="C91" s="4"/>
      <c r="D91" s="4" t="s">
        <v>129</v>
      </c>
      <c r="E91" s="4" t="s">
        <v>130</v>
      </c>
      <c r="F91" s="4"/>
      <c r="G91" s="4" t="s">
        <v>107</v>
      </c>
      <c r="H91" s="4"/>
      <c r="I91" s="4"/>
      <c r="J91" s="6">
        <v>75</v>
      </c>
      <c r="K91" s="6"/>
      <c r="L91" s="6"/>
    </row>
    <row r="92" spans="1:12">
      <c r="A92" s="4" t="s">
        <v>9</v>
      </c>
      <c r="B92" s="4" t="s">
        <v>61</v>
      </c>
      <c r="C92" s="4"/>
      <c r="D92" s="4" t="s">
        <v>129</v>
      </c>
      <c r="E92" s="4" t="s">
        <v>130</v>
      </c>
      <c r="F92" s="4"/>
      <c r="G92" s="4" t="s">
        <v>107</v>
      </c>
      <c r="H92" s="4"/>
      <c r="I92" s="4"/>
      <c r="J92" s="6">
        <v>65</v>
      </c>
      <c r="K92" s="6"/>
      <c r="L92" s="6"/>
    </row>
    <row r="93" spans="1:12">
      <c r="A93" s="4" t="s">
        <v>9</v>
      </c>
      <c r="B93" s="4" t="s">
        <v>10</v>
      </c>
      <c r="C93" s="4"/>
      <c r="D93" s="4" t="s">
        <v>129</v>
      </c>
      <c r="E93" s="4" t="s">
        <v>130</v>
      </c>
      <c r="F93" s="4"/>
      <c r="G93" s="4" t="s">
        <v>107</v>
      </c>
      <c r="H93" s="4"/>
      <c r="I93" s="4"/>
      <c r="J93" s="6">
        <v>75</v>
      </c>
      <c r="K93" s="6"/>
      <c r="L93" s="6"/>
    </row>
    <row r="94" spans="1:12">
      <c r="A94" s="4" t="s">
        <v>9</v>
      </c>
      <c r="B94" s="4" t="s">
        <v>27</v>
      </c>
      <c r="C94" s="4"/>
      <c r="D94" s="4" t="s">
        <v>129</v>
      </c>
      <c r="E94" s="4" t="s">
        <v>130</v>
      </c>
      <c r="F94" s="4"/>
      <c r="G94" s="4" t="s">
        <v>107</v>
      </c>
      <c r="H94" s="4"/>
      <c r="I94" s="4"/>
      <c r="J94" s="6">
        <v>85</v>
      </c>
      <c r="K94" s="6"/>
      <c r="L94" s="6"/>
    </row>
    <row r="95" spans="1:12">
      <c r="A95" s="4" t="s">
        <v>9</v>
      </c>
      <c r="B95" s="4" t="s">
        <v>30</v>
      </c>
      <c r="C95" s="4"/>
      <c r="D95" s="4" t="s">
        <v>129</v>
      </c>
      <c r="E95" s="4" t="s">
        <v>130</v>
      </c>
      <c r="F95" s="4"/>
      <c r="G95" s="4" t="s">
        <v>107</v>
      </c>
      <c r="H95" s="4"/>
      <c r="I95" s="4"/>
      <c r="J95" s="6">
        <v>85</v>
      </c>
      <c r="K95" s="6"/>
      <c r="L95" s="6"/>
    </row>
    <row r="96" spans="1:12">
      <c r="A96" s="4" t="s">
        <v>9</v>
      </c>
      <c r="B96" s="4" t="s">
        <v>38</v>
      </c>
      <c r="C96" s="4"/>
      <c r="D96" s="4" t="s">
        <v>129</v>
      </c>
      <c r="E96" s="4" t="s">
        <v>130</v>
      </c>
      <c r="F96" s="4"/>
      <c r="G96" s="4" t="s">
        <v>107</v>
      </c>
      <c r="H96" s="4"/>
      <c r="I96" s="4"/>
      <c r="J96" s="6">
        <v>85</v>
      </c>
      <c r="K96" s="6"/>
      <c r="L96" s="6"/>
    </row>
    <row r="97" spans="1:12">
      <c r="A97" s="4" t="s">
        <v>6</v>
      </c>
      <c r="B97" s="4" t="s">
        <v>7</v>
      </c>
      <c r="C97" s="4"/>
      <c r="D97" s="4" t="s">
        <v>129</v>
      </c>
      <c r="E97" s="4" t="s">
        <v>130</v>
      </c>
      <c r="F97" s="4"/>
      <c r="G97" s="4" t="s">
        <v>107</v>
      </c>
      <c r="H97" s="4"/>
      <c r="I97" s="4"/>
      <c r="J97" s="6">
        <v>65</v>
      </c>
      <c r="K97" s="6"/>
      <c r="L97" s="6"/>
    </row>
    <row r="98" spans="1:12">
      <c r="A98" s="4" t="s">
        <v>9</v>
      </c>
      <c r="B98" s="4" t="s">
        <v>131</v>
      </c>
      <c r="C98" s="4"/>
      <c r="D98" s="4" t="s">
        <v>129</v>
      </c>
      <c r="E98" s="4" t="s">
        <v>130</v>
      </c>
      <c r="F98" s="4"/>
      <c r="G98" s="4" t="s">
        <v>107</v>
      </c>
      <c r="H98" s="4"/>
      <c r="I98" s="4"/>
      <c r="J98" s="6">
        <v>0</v>
      </c>
      <c r="K98" s="6"/>
      <c r="L98" s="6"/>
    </row>
    <row r="99" spans="1:12">
      <c r="A99" s="4" t="s">
        <v>6</v>
      </c>
      <c r="B99" s="4" t="s">
        <v>40</v>
      </c>
      <c r="C99" s="4"/>
      <c r="D99" s="4" t="s">
        <v>129</v>
      </c>
      <c r="E99" s="4" t="s">
        <v>130</v>
      </c>
      <c r="F99" s="4"/>
      <c r="G99" s="4" t="s">
        <v>107</v>
      </c>
      <c r="H99" s="4"/>
      <c r="I99" s="4"/>
      <c r="J99" s="6">
        <v>65</v>
      </c>
      <c r="K99" s="6"/>
      <c r="L99" s="6"/>
    </row>
    <row r="100" spans="1:12">
      <c r="A100" s="4" t="s">
        <v>6</v>
      </c>
      <c r="B100" s="4" t="s">
        <v>43</v>
      </c>
      <c r="C100" s="4"/>
      <c r="D100" s="4" t="s">
        <v>129</v>
      </c>
      <c r="E100" s="4" t="s">
        <v>130</v>
      </c>
      <c r="F100" s="4"/>
      <c r="G100" s="4" t="s">
        <v>107</v>
      </c>
      <c r="H100" s="4"/>
      <c r="I100" s="4"/>
      <c r="J100" s="6">
        <v>75</v>
      </c>
      <c r="K100" s="6"/>
      <c r="L100" s="6"/>
    </row>
    <row r="101" spans="1:12">
      <c r="A101" s="4" t="s">
        <v>6</v>
      </c>
      <c r="B101" s="4" t="s">
        <v>51</v>
      </c>
      <c r="C101" s="4"/>
      <c r="D101" s="4" t="s">
        <v>129</v>
      </c>
      <c r="E101" s="4" t="s">
        <v>130</v>
      </c>
      <c r="F101" s="4"/>
      <c r="G101" s="4" t="s">
        <v>107</v>
      </c>
      <c r="H101" s="4"/>
      <c r="I101" s="4"/>
      <c r="J101" s="6">
        <v>75</v>
      </c>
      <c r="K101" s="6"/>
      <c r="L101" s="6"/>
    </row>
    <row r="102" spans="1:12">
      <c r="A102" s="4" t="s">
        <v>6</v>
      </c>
      <c r="B102" s="4" t="s">
        <v>53</v>
      </c>
      <c r="C102" s="4"/>
      <c r="D102" s="4" t="s">
        <v>129</v>
      </c>
      <c r="E102" s="4" t="s">
        <v>130</v>
      </c>
      <c r="F102" s="4"/>
      <c r="G102" s="4" t="s">
        <v>107</v>
      </c>
      <c r="H102" s="4"/>
      <c r="I102" s="4"/>
      <c r="J102" s="6">
        <v>100</v>
      </c>
      <c r="K102" s="6"/>
      <c r="L102" s="6"/>
    </row>
    <row r="103" spans="1:12">
      <c r="A103" s="4" t="s">
        <v>6</v>
      </c>
      <c r="B103" s="4" t="s">
        <v>56</v>
      </c>
      <c r="C103" s="4"/>
      <c r="D103" s="4" t="s">
        <v>129</v>
      </c>
      <c r="E103" s="4" t="s">
        <v>130</v>
      </c>
      <c r="F103" s="4"/>
      <c r="G103" s="4" t="s">
        <v>107</v>
      </c>
      <c r="H103" s="4"/>
      <c r="I103" s="4"/>
      <c r="J103" s="6">
        <v>100</v>
      </c>
      <c r="K103" s="6"/>
      <c r="L103" s="6"/>
    </row>
    <row r="104" spans="1:12">
      <c r="A104" s="4" t="s">
        <v>6</v>
      </c>
      <c r="B104" s="4" t="s">
        <v>59</v>
      </c>
      <c r="C104" s="4"/>
      <c r="D104" s="4" t="s">
        <v>129</v>
      </c>
      <c r="E104" s="4" t="s">
        <v>130</v>
      </c>
      <c r="F104" s="4"/>
      <c r="G104" s="4" t="s">
        <v>107</v>
      </c>
      <c r="H104" s="4"/>
      <c r="I104" s="4"/>
      <c r="J104" s="6">
        <v>85</v>
      </c>
      <c r="K104" s="6"/>
      <c r="L104" s="6"/>
    </row>
    <row r="105" spans="1:12">
      <c r="A105" s="4" t="s">
        <v>6</v>
      </c>
      <c r="B105" s="4" t="s">
        <v>8</v>
      </c>
      <c r="C105" s="4"/>
      <c r="D105" s="4" t="s">
        <v>129</v>
      </c>
      <c r="E105" s="4" t="s">
        <v>130</v>
      </c>
      <c r="F105" s="4"/>
      <c r="G105" s="4" t="s">
        <v>107</v>
      </c>
      <c r="H105" s="4"/>
      <c r="I105" s="4"/>
      <c r="J105" s="6">
        <v>73</v>
      </c>
      <c r="K105" s="6"/>
      <c r="L105" s="6"/>
    </row>
    <row r="106" spans="1:12">
      <c r="A106" s="4" t="s">
        <v>9</v>
      </c>
      <c r="B106" s="4" t="s">
        <v>14</v>
      </c>
      <c r="C106" s="4"/>
      <c r="D106" s="4" t="s">
        <v>129</v>
      </c>
      <c r="E106" s="4" t="s">
        <v>130</v>
      </c>
      <c r="F106" s="4"/>
      <c r="G106" s="4" t="s">
        <v>107</v>
      </c>
      <c r="H106" s="4"/>
      <c r="I106" s="4"/>
      <c r="J106" s="6">
        <v>65</v>
      </c>
      <c r="K106" s="6"/>
      <c r="L106" s="6"/>
    </row>
    <row r="107" spans="1:12">
      <c r="A107" s="4" t="s">
        <v>9</v>
      </c>
      <c r="B107" s="4" t="s">
        <v>15</v>
      </c>
      <c r="C107" s="4"/>
      <c r="D107" s="4" t="s">
        <v>129</v>
      </c>
      <c r="E107" s="4" t="s">
        <v>130</v>
      </c>
      <c r="F107" s="4"/>
      <c r="G107" s="4" t="s">
        <v>107</v>
      </c>
      <c r="H107" s="4"/>
      <c r="I107" s="4"/>
      <c r="J107" s="6">
        <v>67</v>
      </c>
      <c r="K107" s="6"/>
      <c r="L107" s="6"/>
    </row>
    <row r="108" spans="1:12">
      <c r="A108" s="4" t="s">
        <v>9</v>
      </c>
      <c r="B108" s="4" t="s">
        <v>18</v>
      </c>
      <c r="C108" s="4"/>
      <c r="D108" s="4" t="s">
        <v>129</v>
      </c>
      <c r="E108" s="4" t="s">
        <v>130</v>
      </c>
      <c r="F108" s="4"/>
      <c r="G108" s="4" t="s">
        <v>107</v>
      </c>
      <c r="H108" s="4"/>
      <c r="I108" s="4"/>
      <c r="J108" s="6">
        <v>65</v>
      </c>
      <c r="K108" s="6"/>
      <c r="L108" s="6"/>
    </row>
    <row r="109" spans="1:12">
      <c r="A109" s="4" t="s">
        <v>9</v>
      </c>
      <c r="B109" s="4" t="s">
        <v>21</v>
      </c>
      <c r="C109" s="4"/>
      <c r="D109" s="4" t="s">
        <v>129</v>
      </c>
      <c r="E109" s="4" t="s">
        <v>130</v>
      </c>
      <c r="F109" s="4"/>
      <c r="G109" s="4" t="s">
        <v>107</v>
      </c>
      <c r="H109" s="4"/>
      <c r="I109" s="4"/>
      <c r="J109" s="6">
        <v>70</v>
      </c>
      <c r="K109" s="6"/>
      <c r="L109" s="6"/>
    </row>
    <row r="110" spans="1:12">
      <c r="A110" s="4" t="s">
        <v>9</v>
      </c>
      <c r="B110" s="4" t="s">
        <v>22</v>
      </c>
      <c r="C110" s="4"/>
      <c r="D110" s="4" t="s">
        <v>129</v>
      </c>
      <c r="E110" s="4" t="s">
        <v>130</v>
      </c>
      <c r="F110" s="4"/>
      <c r="G110" s="4" t="s">
        <v>107</v>
      </c>
      <c r="H110" s="4"/>
      <c r="I110" s="4"/>
      <c r="J110" s="6">
        <v>88.3333333333333</v>
      </c>
      <c r="K110" s="6"/>
      <c r="L110" s="6"/>
    </row>
    <row r="111" spans="1:12">
      <c r="A111" s="4" t="s">
        <v>9</v>
      </c>
      <c r="B111" s="4" t="s">
        <v>23</v>
      </c>
      <c r="C111" s="4"/>
      <c r="D111" s="4" t="s">
        <v>129</v>
      </c>
      <c r="E111" s="4" t="s">
        <v>130</v>
      </c>
      <c r="F111" s="4"/>
      <c r="G111" s="4" t="s">
        <v>107</v>
      </c>
      <c r="H111" s="4"/>
      <c r="I111" s="4"/>
      <c r="J111" s="6">
        <v>70.8333333333333</v>
      </c>
      <c r="K111" s="6"/>
      <c r="L111" s="6"/>
    </row>
    <row r="112" spans="1:12">
      <c r="A112" s="4" t="s">
        <v>9</v>
      </c>
      <c r="B112" s="4" t="s">
        <v>25</v>
      </c>
      <c r="C112" s="4"/>
      <c r="D112" s="4" t="s">
        <v>129</v>
      </c>
      <c r="E112" s="4" t="s">
        <v>130</v>
      </c>
      <c r="F112" s="4"/>
      <c r="G112" s="4" t="s">
        <v>107</v>
      </c>
      <c r="H112" s="4"/>
      <c r="I112" s="4"/>
      <c r="J112" s="6">
        <v>70.8333333333333</v>
      </c>
      <c r="K112" s="6"/>
      <c r="L112" s="6"/>
    </row>
    <row r="113" spans="1:12">
      <c r="A113" s="4" t="s">
        <v>9</v>
      </c>
      <c r="B113" s="4" t="s">
        <v>26</v>
      </c>
      <c r="C113" s="4"/>
      <c r="D113" s="4" t="s">
        <v>129</v>
      </c>
      <c r="E113" s="4" t="s">
        <v>130</v>
      </c>
      <c r="F113" s="4"/>
      <c r="G113" s="4" t="s">
        <v>107</v>
      </c>
      <c r="H113" s="4"/>
      <c r="I113" s="4"/>
      <c r="J113" s="6">
        <v>73</v>
      </c>
      <c r="K113" s="6"/>
      <c r="L113" s="6"/>
    </row>
    <row r="114" spans="1:12">
      <c r="A114" s="4" t="s">
        <v>9</v>
      </c>
      <c r="B114" s="4" t="s">
        <v>28</v>
      </c>
      <c r="C114" s="4"/>
      <c r="D114" s="4" t="s">
        <v>129</v>
      </c>
      <c r="E114" s="4" t="s">
        <v>130</v>
      </c>
      <c r="F114" s="4"/>
      <c r="G114" s="4" t="s">
        <v>107</v>
      </c>
      <c r="H114" s="4"/>
      <c r="I114" s="4"/>
      <c r="J114" s="6">
        <v>89</v>
      </c>
      <c r="K114" s="6"/>
      <c r="L114" s="6"/>
    </row>
    <row r="115" spans="1:12">
      <c r="A115" s="4" t="s">
        <v>9</v>
      </c>
      <c r="B115" s="4" t="s">
        <v>29</v>
      </c>
      <c r="C115" s="4"/>
      <c r="D115" s="4" t="s">
        <v>129</v>
      </c>
      <c r="E115" s="4" t="s">
        <v>130</v>
      </c>
      <c r="F115" s="4"/>
      <c r="G115" s="4" t="s">
        <v>107</v>
      </c>
      <c r="H115" s="4"/>
      <c r="I115" s="4"/>
      <c r="J115" s="6">
        <v>73</v>
      </c>
      <c r="K115" s="6"/>
      <c r="L115" s="6"/>
    </row>
    <row r="116" spans="1:12">
      <c r="A116" s="4" t="s">
        <v>9</v>
      </c>
      <c r="B116" s="4" t="s">
        <v>31</v>
      </c>
      <c r="C116" s="4"/>
      <c r="D116" s="4" t="s">
        <v>129</v>
      </c>
      <c r="E116" s="4" t="s">
        <v>130</v>
      </c>
      <c r="F116" s="4"/>
      <c r="G116" s="4" t="s">
        <v>107</v>
      </c>
      <c r="H116" s="4"/>
      <c r="I116" s="4"/>
      <c r="J116" s="6">
        <v>70.8333333333333</v>
      </c>
      <c r="K116" s="6"/>
      <c r="L116" s="6"/>
    </row>
    <row r="117" spans="1:12">
      <c r="A117" s="4" t="s">
        <v>9</v>
      </c>
      <c r="B117" s="4" t="s">
        <v>33</v>
      </c>
      <c r="C117" s="4"/>
      <c r="D117" s="4" t="s">
        <v>129</v>
      </c>
      <c r="E117" s="4" t="s">
        <v>130</v>
      </c>
      <c r="F117" s="4"/>
      <c r="G117" s="4" t="s">
        <v>107</v>
      </c>
      <c r="H117" s="4"/>
      <c r="I117" s="4"/>
      <c r="J117" s="6">
        <v>67</v>
      </c>
      <c r="K117" s="6"/>
      <c r="L117" s="6"/>
    </row>
    <row r="118" spans="1:12">
      <c r="A118" s="4" t="s">
        <v>6</v>
      </c>
      <c r="B118" s="4" t="s">
        <v>39</v>
      </c>
      <c r="C118" s="4"/>
      <c r="D118" s="4" t="s">
        <v>129</v>
      </c>
      <c r="E118" s="4" t="s">
        <v>130</v>
      </c>
      <c r="F118" s="4"/>
      <c r="G118" s="4" t="s">
        <v>107</v>
      </c>
      <c r="H118" s="4"/>
      <c r="I118" s="4"/>
      <c r="J118" s="6">
        <v>65</v>
      </c>
      <c r="K118" s="6"/>
      <c r="L118" s="6"/>
    </row>
    <row r="119" spans="1:12">
      <c r="A119" s="4" t="s">
        <v>6</v>
      </c>
      <c r="B119" s="31" t="s">
        <v>11</v>
      </c>
      <c r="C119" s="4"/>
      <c r="D119" s="4" t="s">
        <v>125</v>
      </c>
      <c r="E119" s="4" t="s">
        <v>133</v>
      </c>
      <c r="F119" s="4" t="s">
        <v>113</v>
      </c>
      <c r="G119" s="4"/>
      <c r="H119" s="4" t="s">
        <v>134</v>
      </c>
      <c r="I119" s="4" t="s">
        <v>128</v>
      </c>
      <c r="J119" s="6">
        <v>0.25</v>
      </c>
      <c r="K119" s="6">
        <v>0.5</v>
      </c>
      <c r="L119" s="6">
        <v>0.125</v>
      </c>
    </row>
    <row r="120" spans="1:12">
      <c r="A120" s="4" t="s">
        <v>9</v>
      </c>
      <c r="B120" s="4" t="s">
        <v>10</v>
      </c>
      <c r="C120" s="4"/>
      <c r="D120" s="4" t="s">
        <v>135</v>
      </c>
      <c r="E120" s="4" t="s">
        <v>136</v>
      </c>
      <c r="F120" s="4"/>
      <c r="G120" s="4" t="s">
        <v>120</v>
      </c>
      <c r="H120" s="4"/>
      <c r="I120" s="4"/>
      <c r="J120" s="6">
        <v>72.65</v>
      </c>
      <c r="K120" s="6"/>
      <c r="L120" s="6">
        <f t="shared" ref="L120:L151" si="0">IF(J120=100,0.5,IF(J120&lt;60,0,(J120*0.05-2)/8))</f>
        <v>0.2040625</v>
      </c>
    </row>
    <row r="121" spans="1:12">
      <c r="A121" s="4" t="s">
        <v>9</v>
      </c>
      <c r="B121" s="4" t="s">
        <v>131</v>
      </c>
      <c r="C121" s="4"/>
      <c r="D121" s="4" t="s">
        <v>135</v>
      </c>
      <c r="E121" s="4" t="s">
        <v>136</v>
      </c>
      <c r="F121" s="4"/>
      <c r="G121" s="4" t="s">
        <v>120</v>
      </c>
      <c r="H121" s="4"/>
      <c r="I121" s="4"/>
      <c r="J121" s="6">
        <v>63</v>
      </c>
      <c r="K121" s="6"/>
      <c r="L121" s="6">
        <f t="shared" si="0"/>
        <v>0.14375</v>
      </c>
    </row>
    <row r="122" spans="1:12">
      <c r="A122" s="4" t="s">
        <v>9</v>
      </c>
      <c r="B122" s="4" t="s">
        <v>12</v>
      </c>
      <c r="C122" s="4"/>
      <c r="D122" s="4" t="s">
        <v>135</v>
      </c>
      <c r="E122" s="4" t="s">
        <v>136</v>
      </c>
      <c r="F122" s="4"/>
      <c r="G122" s="4" t="s">
        <v>120</v>
      </c>
      <c r="H122" s="4"/>
      <c r="I122" s="4"/>
      <c r="J122" s="6">
        <v>64.61</v>
      </c>
      <c r="K122" s="6"/>
      <c r="L122" s="6">
        <f t="shared" si="0"/>
        <v>0.1538125</v>
      </c>
    </row>
    <row r="123" spans="1:12">
      <c r="A123" s="4" t="s">
        <v>9</v>
      </c>
      <c r="B123" s="4" t="s">
        <v>13</v>
      </c>
      <c r="C123" s="4"/>
      <c r="D123" s="4" t="s">
        <v>135</v>
      </c>
      <c r="E123" s="4" t="s">
        <v>136</v>
      </c>
      <c r="F123" s="4"/>
      <c r="G123" s="4" t="s">
        <v>120</v>
      </c>
      <c r="H123" s="4"/>
      <c r="I123" s="4"/>
      <c r="J123" s="6">
        <v>91</v>
      </c>
      <c r="K123" s="6"/>
      <c r="L123" s="6">
        <f t="shared" si="0"/>
        <v>0.31875</v>
      </c>
    </row>
    <row r="124" spans="1:12">
      <c r="A124" s="4" t="s">
        <v>9</v>
      </c>
      <c r="B124" s="4" t="s">
        <v>14</v>
      </c>
      <c r="C124" s="4"/>
      <c r="D124" s="4" t="s">
        <v>135</v>
      </c>
      <c r="E124" s="4" t="s">
        <v>136</v>
      </c>
      <c r="F124" s="4"/>
      <c r="G124" s="4" t="s">
        <v>120</v>
      </c>
      <c r="H124" s="4"/>
      <c r="I124" s="4"/>
      <c r="J124" s="6">
        <v>35.0916666666667</v>
      </c>
      <c r="K124" s="6"/>
      <c r="L124" s="6">
        <f t="shared" si="0"/>
        <v>0</v>
      </c>
    </row>
    <row r="125" spans="1:12">
      <c r="A125" s="4" t="s">
        <v>9</v>
      </c>
      <c r="B125" s="4" t="s">
        <v>15</v>
      </c>
      <c r="C125" s="4"/>
      <c r="D125" s="4" t="s">
        <v>135</v>
      </c>
      <c r="E125" s="4" t="s">
        <v>136</v>
      </c>
      <c r="F125" s="4"/>
      <c r="G125" s="4" t="s">
        <v>120</v>
      </c>
      <c r="H125" s="4"/>
      <c r="I125" s="4"/>
      <c r="J125" s="6">
        <v>1.94166666666667</v>
      </c>
      <c r="K125" s="6"/>
      <c r="L125" s="6">
        <f t="shared" si="0"/>
        <v>0</v>
      </c>
    </row>
    <row r="126" spans="1:12">
      <c r="A126" s="4" t="s">
        <v>9</v>
      </c>
      <c r="B126" s="4" t="s">
        <v>16</v>
      </c>
      <c r="C126" s="4"/>
      <c r="D126" s="4" t="s">
        <v>135</v>
      </c>
      <c r="E126" s="4" t="s">
        <v>136</v>
      </c>
      <c r="F126" s="4"/>
      <c r="G126" s="4" t="s">
        <v>120</v>
      </c>
      <c r="H126" s="4"/>
      <c r="I126" s="4"/>
      <c r="J126" s="6">
        <v>65.39</v>
      </c>
      <c r="K126" s="6"/>
      <c r="L126" s="6">
        <f t="shared" si="0"/>
        <v>0.1586875</v>
      </c>
    </row>
    <row r="127" spans="1:12">
      <c r="A127" s="4" t="s">
        <v>9</v>
      </c>
      <c r="B127" s="4" t="s">
        <v>17</v>
      </c>
      <c r="C127" s="4"/>
      <c r="D127" s="4" t="s">
        <v>135</v>
      </c>
      <c r="E127" s="4" t="s">
        <v>136</v>
      </c>
      <c r="F127" s="4"/>
      <c r="G127" s="4" t="s">
        <v>120</v>
      </c>
      <c r="H127" s="4"/>
      <c r="I127" s="4"/>
      <c r="J127" s="6">
        <v>63</v>
      </c>
      <c r="K127" s="6"/>
      <c r="L127" s="6">
        <f t="shared" si="0"/>
        <v>0.14375</v>
      </c>
    </row>
    <row r="128" spans="1:12">
      <c r="A128" s="4" t="s">
        <v>9</v>
      </c>
      <c r="B128" s="4" t="s">
        <v>18</v>
      </c>
      <c r="C128" s="4"/>
      <c r="D128" s="4" t="s">
        <v>135</v>
      </c>
      <c r="E128" s="4" t="s">
        <v>136</v>
      </c>
      <c r="F128" s="4"/>
      <c r="G128" s="4" t="s">
        <v>120</v>
      </c>
      <c r="H128" s="4"/>
      <c r="I128" s="4"/>
      <c r="J128" s="6">
        <v>14.6083333333333</v>
      </c>
      <c r="K128" s="6"/>
      <c r="L128" s="6">
        <f t="shared" si="0"/>
        <v>0</v>
      </c>
    </row>
    <row r="129" spans="1:12">
      <c r="A129" s="4" t="s">
        <v>9</v>
      </c>
      <c r="B129" s="4" t="s">
        <v>19</v>
      </c>
      <c r="C129" s="4"/>
      <c r="D129" s="4" t="s">
        <v>135</v>
      </c>
      <c r="E129" s="4" t="s">
        <v>136</v>
      </c>
      <c r="F129" s="4"/>
      <c r="G129" s="4" t="s">
        <v>120</v>
      </c>
      <c r="H129" s="4"/>
      <c r="I129" s="4"/>
      <c r="J129" s="6">
        <v>60</v>
      </c>
      <c r="K129" s="6"/>
      <c r="L129" s="6">
        <f t="shared" si="0"/>
        <v>0.125</v>
      </c>
    </row>
    <row r="130" spans="1:12">
      <c r="A130" s="4" t="s">
        <v>9</v>
      </c>
      <c r="B130" s="4" t="s">
        <v>20</v>
      </c>
      <c r="C130" s="4"/>
      <c r="D130" s="4" t="s">
        <v>135</v>
      </c>
      <c r="E130" s="4" t="s">
        <v>136</v>
      </c>
      <c r="F130" s="4"/>
      <c r="G130" s="4" t="s">
        <v>120</v>
      </c>
      <c r="H130" s="4"/>
      <c r="I130" s="4"/>
      <c r="J130" s="6">
        <v>60</v>
      </c>
      <c r="K130" s="6"/>
      <c r="L130" s="6">
        <f t="shared" si="0"/>
        <v>0.125</v>
      </c>
    </row>
    <row r="131" spans="1:12">
      <c r="A131" s="4" t="s">
        <v>9</v>
      </c>
      <c r="B131" s="4" t="s">
        <v>21</v>
      </c>
      <c r="C131" s="4"/>
      <c r="D131" s="4" t="s">
        <v>135</v>
      </c>
      <c r="E131" s="4" t="s">
        <v>136</v>
      </c>
      <c r="F131" s="4"/>
      <c r="G131" s="4" t="s">
        <v>120</v>
      </c>
      <c r="H131" s="4"/>
      <c r="I131" s="4"/>
      <c r="J131" s="6">
        <v>60.3</v>
      </c>
      <c r="K131" s="6"/>
      <c r="L131" s="6">
        <f t="shared" si="0"/>
        <v>0.126875</v>
      </c>
    </row>
    <row r="132" spans="1:12">
      <c r="A132" s="4" t="s">
        <v>9</v>
      </c>
      <c r="B132" s="4" t="s">
        <v>22</v>
      </c>
      <c r="C132" s="4"/>
      <c r="D132" s="4" t="s">
        <v>135</v>
      </c>
      <c r="E132" s="4" t="s">
        <v>136</v>
      </c>
      <c r="F132" s="4"/>
      <c r="G132" s="4" t="s">
        <v>120</v>
      </c>
      <c r="H132" s="4"/>
      <c r="I132" s="4"/>
      <c r="J132" s="6">
        <v>0</v>
      </c>
      <c r="K132" s="6"/>
      <c r="L132" s="6">
        <f t="shared" si="0"/>
        <v>0</v>
      </c>
    </row>
    <row r="133" spans="1:12">
      <c r="A133" s="4" t="s">
        <v>9</v>
      </c>
      <c r="B133" s="4" t="s">
        <v>23</v>
      </c>
      <c r="C133" s="4"/>
      <c r="D133" s="4" t="s">
        <v>135</v>
      </c>
      <c r="E133" s="4" t="s">
        <v>136</v>
      </c>
      <c r="F133" s="4"/>
      <c r="G133" s="4" t="s">
        <v>120</v>
      </c>
      <c r="H133" s="4"/>
      <c r="I133" s="4"/>
      <c r="J133" s="6">
        <v>86.25</v>
      </c>
      <c r="K133" s="6"/>
      <c r="L133" s="6">
        <f t="shared" si="0"/>
        <v>0.2890625</v>
      </c>
    </row>
    <row r="134" spans="1:12">
      <c r="A134" s="4" t="s">
        <v>9</v>
      </c>
      <c r="B134" s="4" t="s">
        <v>24</v>
      </c>
      <c r="C134" s="4"/>
      <c r="D134" s="4" t="s">
        <v>135</v>
      </c>
      <c r="E134" s="4" t="s">
        <v>136</v>
      </c>
      <c r="F134" s="4"/>
      <c r="G134" s="4" t="s">
        <v>120</v>
      </c>
      <c r="H134" s="4"/>
      <c r="I134" s="4"/>
      <c r="J134" s="6">
        <v>100</v>
      </c>
      <c r="K134" s="6"/>
      <c r="L134" s="6">
        <f t="shared" si="0"/>
        <v>0.5</v>
      </c>
    </row>
    <row r="135" spans="1:12">
      <c r="A135" s="4" t="s">
        <v>9</v>
      </c>
      <c r="B135" s="4" t="s">
        <v>137</v>
      </c>
      <c r="C135" s="4"/>
      <c r="D135" s="4" t="s">
        <v>135</v>
      </c>
      <c r="E135" s="4" t="s">
        <v>136</v>
      </c>
      <c r="F135" s="4"/>
      <c r="G135" s="4" t="s">
        <v>120</v>
      </c>
      <c r="H135" s="4"/>
      <c r="I135" s="4"/>
      <c r="J135" s="6">
        <v>0</v>
      </c>
      <c r="K135" s="6"/>
      <c r="L135" s="6">
        <f t="shared" si="0"/>
        <v>0</v>
      </c>
    </row>
    <row r="136" spans="1:12">
      <c r="A136" s="4" t="s">
        <v>9</v>
      </c>
      <c r="B136" s="4" t="s">
        <v>25</v>
      </c>
      <c r="C136" s="4"/>
      <c r="D136" s="4" t="s">
        <v>135</v>
      </c>
      <c r="E136" s="4" t="s">
        <v>136</v>
      </c>
      <c r="F136" s="4"/>
      <c r="G136" s="4" t="s">
        <v>120</v>
      </c>
      <c r="H136" s="4"/>
      <c r="I136" s="4"/>
      <c r="J136" s="6">
        <v>17.6416666666667</v>
      </c>
      <c r="K136" s="6"/>
      <c r="L136" s="6">
        <f t="shared" si="0"/>
        <v>0</v>
      </c>
    </row>
    <row r="137" spans="1:12">
      <c r="A137" s="4" t="s">
        <v>9</v>
      </c>
      <c r="B137" s="4" t="s">
        <v>26</v>
      </c>
      <c r="C137" s="4"/>
      <c r="D137" s="4" t="s">
        <v>135</v>
      </c>
      <c r="E137" s="4" t="s">
        <v>136</v>
      </c>
      <c r="F137" s="4"/>
      <c r="G137" s="4" t="s">
        <v>120</v>
      </c>
      <c r="H137" s="4"/>
      <c r="I137" s="4"/>
      <c r="J137" s="6">
        <v>15</v>
      </c>
      <c r="K137" s="6"/>
      <c r="L137" s="6">
        <f t="shared" si="0"/>
        <v>0</v>
      </c>
    </row>
    <row r="138" spans="1:12">
      <c r="A138" s="4" t="s">
        <v>9</v>
      </c>
      <c r="B138" s="4" t="s">
        <v>27</v>
      </c>
      <c r="C138" s="4"/>
      <c r="D138" s="4" t="s">
        <v>135</v>
      </c>
      <c r="E138" s="4" t="s">
        <v>136</v>
      </c>
      <c r="F138" s="4"/>
      <c r="G138" s="4" t="s">
        <v>120</v>
      </c>
      <c r="H138" s="4"/>
      <c r="I138" s="4"/>
      <c r="J138" s="6">
        <v>100</v>
      </c>
      <c r="K138" s="6"/>
      <c r="L138" s="6">
        <f t="shared" si="0"/>
        <v>0.5</v>
      </c>
    </row>
    <row r="139" spans="1:12">
      <c r="A139" s="4" t="s">
        <v>9</v>
      </c>
      <c r="B139" s="4" t="s">
        <v>28</v>
      </c>
      <c r="C139" s="4"/>
      <c r="D139" s="4" t="s">
        <v>135</v>
      </c>
      <c r="E139" s="4" t="s">
        <v>136</v>
      </c>
      <c r="F139" s="4"/>
      <c r="G139" s="4" t="s">
        <v>120</v>
      </c>
      <c r="H139" s="4"/>
      <c r="I139" s="4"/>
      <c r="J139" s="6">
        <v>37.5</v>
      </c>
      <c r="K139" s="6"/>
      <c r="L139" s="6">
        <f t="shared" si="0"/>
        <v>0</v>
      </c>
    </row>
    <row r="140" spans="1:12">
      <c r="A140" s="4" t="s">
        <v>9</v>
      </c>
      <c r="B140" s="4" t="s">
        <v>29</v>
      </c>
      <c r="C140" s="4"/>
      <c r="D140" s="4" t="s">
        <v>135</v>
      </c>
      <c r="E140" s="4" t="s">
        <v>136</v>
      </c>
      <c r="F140" s="4"/>
      <c r="G140" s="4" t="s">
        <v>120</v>
      </c>
      <c r="H140" s="4"/>
      <c r="I140" s="4"/>
      <c r="J140" s="6">
        <v>0</v>
      </c>
      <c r="K140" s="6"/>
      <c r="L140" s="6">
        <f t="shared" si="0"/>
        <v>0</v>
      </c>
    </row>
    <row r="141" spans="1:12">
      <c r="A141" s="4" t="s">
        <v>9</v>
      </c>
      <c r="B141" s="4" t="s">
        <v>30</v>
      </c>
      <c r="C141" s="4"/>
      <c r="D141" s="4" t="s">
        <v>135</v>
      </c>
      <c r="E141" s="4" t="s">
        <v>136</v>
      </c>
      <c r="F141" s="4"/>
      <c r="G141" s="4" t="s">
        <v>120</v>
      </c>
      <c r="H141" s="4"/>
      <c r="I141" s="4"/>
      <c r="J141" s="6">
        <v>90.65</v>
      </c>
      <c r="K141" s="6"/>
      <c r="L141" s="6">
        <f t="shared" si="0"/>
        <v>0.3165625</v>
      </c>
    </row>
    <row r="142" spans="1:12">
      <c r="A142" s="4" t="s">
        <v>9</v>
      </c>
      <c r="B142" s="4" t="s">
        <v>31</v>
      </c>
      <c r="C142" s="4"/>
      <c r="D142" s="4" t="s">
        <v>135</v>
      </c>
      <c r="E142" s="4" t="s">
        <v>136</v>
      </c>
      <c r="F142" s="4"/>
      <c r="G142" s="4" t="s">
        <v>120</v>
      </c>
      <c r="H142" s="4"/>
      <c r="I142" s="4"/>
      <c r="J142" s="6">
        <v>0</v>
      </c>
      <c r="K142" s="6"/>
      <c r="L142" s="6">
        <f t="shared" si="0"/>
        <v>0</v>
      </c>
    </row>
    <row r="143" spans="1:12">
      <c r="A143" s="4" t="s">
        <v>9</v>
      </c>
      <c r="B143" s="4" t="s">
        <v>32</v>
      </c>
      <c r="C143" s="4"/>
      <c r="D143" s="4" t="s">
        <v>135</v>
      </c>
      <c r="E143" s="4" t="s">
        <v>136</v>
      </c>
      <c r="F143" s="4"/>
      <c r="G143" s="4" t="s">
        <v>120</v>
      </c>
      <c r="H143" s="4"/>
      <c r="I143" s="4"/>
      <c r="J143" s="6">
        <v>50.5666666666667</v>
      </c>
      <c r="K143" s="6"/>
      <c r="L143" s="6">
        <f t="shared" si="0"/>
        <v>0</v>
      </c>
    </row>
    <row r="144" spans="1:12">
      <c r="A144" s="4" t="s">
        <v>9</v>
      </c>
      <c r="B144" s="4" t="s">
        <v>33</v>
      </c>
      <c r="C144" s="4"/>
      <c r="D144" s="4" t="s">
        <v>135</v>
      </c>
      <c r="E144" s="4" t="s">
        <v>136</v>
      </c>
      <c r="F144" s="4"/>
      <c r="G144" s="4" t="s">
        <v>120</v>
      </c>
      <c r="H144" s="4"/>
      <c r="I144" s="4"/>
      <c r="J144" s="6">
        <v>55.1583333333333</v>
      </c>
      <c r="K144" s="6"/>
      <c r="L144" s="6">
        <f t="shared" si="0"/>
        <v>0</v>
      </c>
    </row>
    <row r="145" spans="1:12">
      <c r="A145" s="4" t="s">
        <v>9</v>
      </c>
      <c r="B145" s="4" t="s">
        <v>34</v>
      </c>
      <c r="C145" s="4"/>
      <c r="D145" s="4" t="s">
        <v>135</v>
      </c>
      <c r="E145" s="4" t="s">
        <v>136</v>
      </c>
      <c r="F145" s="4"/>
      <c r="G145" s="4" t="s">
        <v>120</v>
      </c>
      <c r="H145" s="4"/>
      <c r="I145" s="4"/>
      <c r="J145" s="6">
        <v>100</v>
      </c>
      <c r="K145" s="6"/>
      <c r="L145" s="6">
        <f t="shared" si="0"/>
        <v>0.5</v>
      </c>
    </row>
    <row r="146" spans="1:12">
      <c r="A146" s="4" t="s">
        <v>9</v>
      </c>
      <c r="B146" s="4" t="s">
        <v>35</v>
      </c>
      <c r="C146" s="4"/>
      <c r="D146" s="4" t="s">
        <v>135</v>
      </c>
      <c r="E146" s="4" t="s">
        <v>136</v>
      </c>
      <c r="F146" s="4"/>
      <c r="G146" s="4" t="s">
        <v>120</v>
      </c>
      <c r="H146" s="4"/>
      <c r="I146" s="4"/>
      <c r="J146" s="6">
        <v>60.4833333333333</v>
      </c>
      <c r="K146" s="6"/>
      <c r="L146" s="6">
        <f t="shared" si="0"/>
        <v>0.128020833333333</v>
      </c>
    </row>
    <row r="147" spans="1:12">
      <c r="A147" s="4" t="s">
        <v>9</v>
      </c>
      <c r="B147" s="4" t="s">
        <v>38</v>
      </c>
      <c r="C147" s="4"/>
      <c r="D147" s="4" t="s">
        <v>135</v>
      </c>
      <c r="E147" s="4" t="s">
        <v>136</v>
      </c>
      <c r="F147" s="4"/>
      <c r="G147" s="4" t="s">
        <v>120</v>
      </c>
      <c r="H147" s="4"/>
      <c r="I147" s="4"/>
      <c r="J147" s="6">
        <v>100</v>
      </c>
      <c r="K147" s="6"/>
      <c r="L147" s="6">
        <f t="shared" si="0"/>
        <v>0.5</v>
      </c>
    </row>
    <row r="148" spans="1:12">
      <c r="A148" s="4" t="s">
        <v>9</v>
      </c>
      <c r="B148" s="4" t="s">
        <v>60</v>
      </c>
      <c r="C148" s="4"/>
      <c r="D148" s="4" t="s">
        <v>135</v>
      </c>
      <c r="E148" s="4" t="s">
        <v>136</v>
      </c>
      <c r="F148" s="4"/>
      <c r="G148" s="4" t="s">
        <v>120</v>
      </c>
      <c r="H148" s="4"/>
      <c r="I148" s="4"/>
      <c r="J148" s="6">
        <v>0</v>
      </c>
      <c r="K148" s="6"/>
      <c r="L148" s="6">
        <f t="shared" si="0"/>
        <v>0</v>
      </c>
    </row>
    <row r="149" spans="1:12">
      <c r="A149" s="4" t="s">
        <v>9</v>
      </c>
      <c r="B149" s="4" t="s">
        <v>61</v>
      </c>
      <c r="C149" s="4"/>
      <c r="D149" s="4" t="s">
        <v>135</v>
      </c>
      <c r="E149" s="4" t="s">
        <v>136</v>
      </c>
      <c r="F149" s="4"/>
      <c r="G149" s="4" t="s">
        <v>120</v>
      </c>
      <c r="H149" s="4"/>
      <c r="I149" s="4"/>
      <c r="J149" s="6">
        <v>0</v>
      </c>
      <c r="K149" s="6"/>
      <c r="L149" s="6">
        <f t="shared" si="0"/>
        <v>0</v>
      </c>
    </row>
    <row r="150" spans="1:12">
      <c r="A150" s="4" t="s">
        <v>9</v>
      </c>
      <c r="B150" s="4" t="s">
        <v>62</v>
      </c>
      <c r="C150" s="4"/>
      <c r="D150" s="4" t="s">
        <v>135</v>
      </c>
      <c r="E150" s="4" t="s">
        <v>136</v>
      </c>
      <c r="F150" s="4"/>
      <c r="G150" s="4" t="s">
        <v>120</v>
      </c>
      <c r="H150" s="4"/>
      <c r="I150" s="4"/>
      <c r="J150" s="6">
        <v>0</v>
      </c>
      <c r="K150" s="6"/>
      <c r="L150" s="6">
        <f t="shared" si="0"/>
        <v>0</v>
      </c>
    </row>
    <row r="151" spans="1:12">
      <c r="A151" s="4" t="s">
        <v>9</v>
      </c>
      <c r="B151" s="4" t="s">
        <v>63</v>
      </c>
      <c r="C151" s="4"/>
      <c r="D151" s="4" t="s">
        <v>135</v>
      </c>
      <c r="E151" s="4" t="s">
        <v>136</v>
      </c>
      <c r="F151" s="4"/>
      <c r="G151" s="4" t="s">
        <v>120</v>
      </c>
      <c r="H151" s="4"/>
      <c r="I151" s="4"/>
      <c r="J151" s="6">
        <v>0</v>
      </c>
      <c r="K151" s="6"/>
      <c r="L151" s="6">
        <f t="shared" si="0"/>
        <v>0</v>
      </c>
    </row>
    <row r="152" spans="1:12">
      <c r="A152" s="4" t="s">
        <v>9</v>
      </c>
      <c r="B152" s="4" t="s">
        <v>138</v>
      </c>
      <c r="C152" s="4"/>
      <c r="D152" s="4" t="s">
        <v>135</v>
      </c>
      <c r="E152" s="4" t="s">
        <v>136</v>
      </c>
      <c r="F152" s="4"/>
      <c r="G152" s="4" t="s">
        <v>120</v>
      </c>
      <c r="H152" s="4"/>
      <c r="I152" s="4"/>
      <c r="J152" s="6">
        <v>100</v>
      </c>
      <c r="K152" s="6"/>
      <c r="L152" s="6">
        <f t="shared" ref="L152:L183" si="1">IF(J152=100,0.5,IF(J152&lt;60,0,(J152*0.05-2)/8))</f>
        <v>0.5</v>
      </c>
    </row>
    <row r="153" spans="1:12">
      <c r="A153" s="4" t="s">
        <v>9</v>
      </c>
      <c r="B153" s="4" t="s">
        <v>64</v>
      </c>
      <c r="C153" s="4"/>
      <c r="D153" s="4" t="s">
        <v>135</v>
      </c>
      <c r="E153" s="4" t="s">
        <v>136</v>
      </c>
      <c r="F153" s="4"/>
      <c r="G153" s="4" t="s">
        <v>120</v>
      </c>
      <c r="H153" s="4"/>
      <c r="I153" s="4"/>
      <c r="J153" s="6">
        <v>0</v>
      </c>
      <c r="K153" s="6"/>
      <c r="L153" s="6">
        <f t="shared" si="1"/>
        <v>0</v>
      </c>
    </row>
    <row r="154" spans="1:12">
      <c r="A154" s="4" t="s">
        <v>6</v>
      </c>
      <c r="B154" s="4" t="s">
        <v>7</v>
      </c>
      <c r="C154" s="4"/>
      <c r="D154" s="4" t="s">
        <v>135</v>
      </c>
      <c r="E154" s="4" t="s">
        <v>136</v>
      </c>
      <c r="F154" s="4"/>
      <c r="G154" s="4" t="s">
        <v>120</v>
      </c>
      <c r="H154" s="4"/>
      <c r="I154" s="4"/>
      <c r="J154" s="6">
        <v>7.50833333333333</v>
      </c>
      <c r="K154" s="6"/>
      <c r="L154" s="6">
        <f t="shared" si="1"/>
        <v>0</v>
      </c>
    </row>
    <row r="155" spans="1:12">
      <c r="A155" s="4" t="s">
        <v>6</v>
      </c>
      <c r="B155" s="4" t="s">
        <v>8</v>
      </c>
      <c r="C155" s="4"/>
      <c r="D155" s="4" t="s">
        <v>135</v>
      </c>
      <c r="E155" s="4" t="s">
        <v>136</v>
      </c>
      <c r="F155" s="4"/>
      <c r="G155" s="4" t="s">
        <v>120</v>
      </c>
      <c r="H155" s="4"/>
      <c r="I155" s="4"/>
      <c r="J155" s="6">
        <v>78.69</v>
      </c>
      <c r="K155" s="6"/>
      <c r="L155" s="6">
        <f t="shared" si="1"/>
        <v>0.2418125</v>
      </c>
    </row>
    <row r="156" spans="1:12">
      <c r="A156" s="4" t="s">
        <v>6</v>
      </c>
      <c r="B156" s="4" t="s">
        <v>11</v>
      </c>
      <c r="C156" s="4"/>
      <c r="D156" s="4" t="s">
        <v>135</v>
      </c>
      <c r="E156" s="4" t="s">
        <v>136</v>
      </c>
      <c r="F156" s="4"/>
      <c r="G156" s="4" t="s">
        <v>120</v>
      </c>
      <c r="H156" s="4"/>
      <c r="I156" s="4"/>
      <c r="J156" s="6">
        <v>0</v>
      </c>
      <c r="K156" s="6"/>
      <c r="L156" s="6">
        <f t="shared" si="1"/>
        <v>0</v>
      </c>
    </row>
    <row r="157" spans="1:12">
      <c r="A157" s="4" t="s">
        <v>6</v>
      </c>
      <c r="B157" s="4" t="s">
        <v>36</v>
      </c>
      <c r="C157" s="4"/>
      <c r="D157" s="4" t="s">
        <v>135</v>
      </c>
      <c r="E157" s="4" t="s">
        <v>136</v>
      </c>
      <c r="F157" s="4"/>
      <c r="G157" s="4" t="s">
        <v>120</v>
      </c>
      <c r="H157" s="4"/>
      <c r="I157" s="4"/>
      <c r="J157" s="6">
        <v>25.9</v>
      </c>
      <c r="K157" s="6"/>
      <c r="L157" s="6">
        <f t="shared" si="1"/>
        <v>0</v>
      </c>
    </row>
    <row r="158" spans="1:12">
      <c r="A158" s="4" t="s">
        <v>6</v>
      </c>
      <c r="B158" s="4" t="s">
        <v>37</v>
      </c>
      <c r="C158" s="4"/>
      <c r="D158" s="4" t="s">
        <v>135</v>
      </c>
      <c r="E158" s="4" t="s">
        <v>136</v>
      </c>
      <c r="F158" s="4"/>
      <c r="G158" s="4" t="s">
        <v>120</v>
      </c>
      <c r="H158" s="4"/>
      <c r="I158" s="4"/>
      <c r="J158" s="6">
        <v>0</v>
      </c>
      <c r="K158" s="6"/>
      <c r="L158" s="6">
        <f t="shared" si="1"/>
        <v>0</v>
      </c>
    </row>
    <row r="159" spans="1:12">
      <c r="A159" s="4" t="s">
        <v>6</v>
      </c>
      <c r="B159" s="4" t="s">
        <v>39</v>
      </c>
      <c r="C159" s="4"/>
      <c r="D159" s="4" t="s">
        <v>135</v>
      </c>
      <c r="E159" s="4" t="s">
        <v>136</v>
      </c>
      <c r="F159" s="4"/>
      <c r="G159" s="4" t="s">
        <v>120</v>
      </c>
      <c r="H159" s="4"/>
      <c r="I159" s="4"/>
      <c r="J159" s="6">
        <v>60.075</v>
      </c>
      <c r="K159" s="6"/>
      <c r="L159" s="6">
        <f t="shared" si="1"/>
        <v>0.12546875</v>
      </c>
    </row>
    <row r="160" spans="1:12">
      <c r="A160" s="4" t="s">
        <v>6</v>
      </c>
      <c r="B160" s="4" t="s">
        <v>40</v>
      </c>
      <c r="C160" s="4"/>
      <c r="D160" s="4" t="s">
        <v>135</v>
      </c>
      <c r="E160" s="4" t="s">
        <v>136</v>
      </c>
      <c r="F160" s="4"/>
      <c r="G160" s="4" t="s">
        <v>120</v>
      </c>
      <c r="H160" s="4"/>
      <c r="I160" s="4"/>
      <c r="J160" s="6">
        <v>46.0916666666667</v>
      </c>
      <c r="K160" s="6"/>
      <c r="L160" s="6">
        <f t="shared" si="1"/>
        <v>0</v>
      </c>
    </row>
    <row r="161" spans="1:12">
      <c r="A161" s="4" t="s">
        <v>6</v>
      </c>
      <c r="B161" s="4" t="s">
        <v>41</v>
      </c>
      <c r="C161" s="4"/>
      <c r="D161" s="4" t="s">
        <v>135</v>
      </c>
      <c r="E161" s="4" t="s">
        <v>136</v>
      </c>
      <c r="F161" s="4"/>
      <c r="G161" s="4" t="s">
        <v>120</v>
      </c>
      <c r="H161" s="4"/>
      <c r="I161" s="4"/>
      <c r="J161" s="6">
        <v>100</v>
      </c>
      <c r="K161" s="6"/>
      <c r="L161" s="6">
        <f t="shared" si="1"/>
        <v>0.5</v>
      </c>
    </row>
    <row r="162" spans="1:12">
      <c r="A162" s="4" t="s">
        <v>6</v>
      </c>
      <c r="B162" s="4" t="s">
        <v>42</v>
      </c>
      <c r="C162" s="4"/>
      <c r="D162" s="4" t="s">
        <v>135</v>
      </c>
      <c r="E162" s="4" t="s">
        <v>136</v>
      </c>
      <c r="F162" s="4"/>
      <c r="G162" s="4" t="s">
        <v>120</v>
      </c>
      <c r="H162" s="4"/>
      <c r="I162" s="4"/>
      <c r="J162" s="6">
        <v>70</v>
      </c>
      <c r="K162" s="6"/>
      <c r="L162" s="6">
        <f t="shared" si="1"/>
        <v>0.1875</v>
      </c>
    </row>
    <row r="163" spans="1:12">
      <c r="A163" s="4" t="s">
        <v>6</v>
      </c>
      <c r="B163" s="4" t="s">
        <v>43</v>
      </c>
      <c r="C163" s="4"/>
      <c r="D163" s="4" t="s">
        <v>135</v>
      </c>
      <c r="E163" s="4" t="s">
        <v>136</v>
      </c>
      <c r="F163" s="4"/>
      <c r="G163" s="4" t="s">
        <v>120</v>
      </c>
      <c r="H163" s="4"/>
      <c r="I163" s="4"/>
      <c r="J163" s="6">
        <v>100</v>
      </c>
      <c r="K163" s="6"/>
      <c r="L163" s="6">
        <f t="shared" si="1"/>
        <v>0.5</v>
      </c>
    </row>
    <row r="164" spans="1:12">
      <c r="A164" s="4" t="s">
        <v>6</v>
      </c>
      <c r="B164" s="4" t="s">
        <v>44</v>
      </c>
      <c r="C164" s="4"/>
      <c r="D164" s="4" t="s">
        <v>135</v>
      </c>
      <c r="E164" s="4" t="s">
        <v>136</v>
      </c>
      <c r="F164" s="4"/>
      <c r="G164" s="4" t="s">
        <v>120</v>
      </c>
      <c r="H164" s="4"/>
      <c r="I164" s="4"/>
      <c r="J164" s="6">
        <v>100</v>
      </c>
      <c r="K164" s="6"/>
      <c r="L164" s="6">
        <f t="shared" si="1"/>
        <v>0.5</v>
      </c>
    </row>
    <row r="165" spans="1:12">
      <c r="A165" s="4" t="s">
        <v>6</v>
      </c>
      <c r="B165" s="4" t="s">
        <v>45</v>
      </c>
      <c r="C165" s="4"/>
      <c r="D165" s="4" t="s">
        <v>135</v>
      </c>
      <c r="E165" s="4" t="s">
        <v>136</v>
      </c>
      <c r="F165" s="4"/>
      <c r="G165" s="4" t="s">
        <v>120</v>
      </c>
      <c r="H165" s="4"/>
      <c r="I165" s="4"/>
      <c r="J165" s="6">
        <v>60</v>
      </c>
      <c r="K165" s="6"/>
      <c r="L165" s="6">
        <f t="shared" si="1"/>
        <v>0.125</v>
      </c>
    </row>
    <row r="166" spans="1:12">
      <c r="A166" s="4" t="s">
        <v>6</v>
      </c>
      <c r="B166" s="4" t="s">
        <v>46</v>
      </c>
      <c r="C166" s="4"/>
      <c r="D166" s="4" t="s">
        <v>135</v>
      </c>
      <c r="E166" s="4" t="s">
        <v>136</v>
      </c>
      <c r="F166" s="4"/>
      <c r="G166" s="4" t="s">
        <v>120</v>
      </c>
      <c r="H166" s="4"/>
      <c r="I166" s="4"/>
      <c r="J166" s="6">
        <v>54.13</v>
      </c>
      <c r="K166" s="6"/>
      <c r="L166" s="6">
        <f t="shared" si="1"/>
        <v>0</v>
      </c>
    </row>
    <row r="167" spans="1:12">
      <c r="A167" s="4" t="s">
        <v>6</v>
      </c>
      <c r="B167" s="4" t="s">
        <v>47</v>
      </c>
      <c r="C167" s="4"/>
      <c r="D167" s="4" t="s">
        <v>135</v>
      </c>
      <c r="E167" s="4" t="s">
        <v>136</v>
      </c>
      <c r="F167" s="4"/>
      <c r="G167" s="4" t="s">
        <v>120</v>
      </c>
      <c r="H167" s="4"/>
      <c r="I167" s="4"/>
      <c r="J167" s="6">
        <v>100</v>
      </c>
      <c r="K167" s="6"/>
      <c r="L167" s="6">
        <f t="shared" si="1"/>
        <v>0.5</v>
      </c>
    </row>
    <row r="168" spans="1:12">
      <c r="A168" s="4" t="s">
        <v>6</v>
      </c>
      <c r="B168" s="4" t="s">
        <v>48</v>
      </c>
      <c r="C168" s="4"/>
      <c r="D168" s="4" t="s">
        <v>135</v>
      </c>
      <c r="E168" s="4" t="s">
        <v>136</v>
      </c>
      <c r="F168" s="4"/>
      <c r="G168" s="4" t="s">
        <v>120</v>
      </c>
      <c r="H168" s="4"/>
      <c r="I168" s="4"/>
      <c r="J168" s="6">
        <v>60.0583333333333</v>
      </c>
      <c r="K168" s="6"/>
      <c r="L168" s="6">
        <f t="shared" si="1"/>
        <v>0.125364583333333</v>
      </c>
    </row>
    <row r="169" spans="1:12">
      <c r="A169" s="4" t="s">
        <v>6</v>
      </c>
      <c r="B169" s="4" t="s">
        <v>49</v>
      </c>
      <c r="C169" s="4"/>
      <c r="D169" s="4" t="s">
        <v>135</v>
      </c>
      <c r="E169" s="4" t="s">
        <v>136</v>
      </c>
      <c r="F169" s="4"/>
      <c r="G169" s="4" t="s">
        <v>120</v>
      </c>
      <c r="H169" s="4"/>
      <c r="I169" s="4"/>
      <c r="J169" s="6">
        <v>75</v>
      </c>
      <c r="K169" s="6"/>
      <c r="L169" s="6">
        <f t="shared" si="1"/>
        <v>0.21875</v>
      </c>
    </row>
    <row r="170" spans="1:12">
      <c r="A170" s="4" t="s">
        <v>6</v>
      </c>
      <c r="B170" s="4" t="s">
        <v>50</v>
      </c>
      <c r="C170" s="4"/>
      <c r="D170" s="4" t="s">
        <v>135</v>
      </c>
      <c r="E170" s="4" t="s">
        <v>136</v>
      </c>
      <c r="F170" s="4"/>
      <c r="G170" s="4" t="s">
        <v>120</v>
      </c>
      <c r="H170" s="4"/>
      <c r="I170" s="4"/>
      <c r="J170" s="6">
        <v>71.0666666666667</v>
      </c>
      <c r="K170" s="6"/>
      <c r="L170" s="6">
        <f t="shared" si="1"/>
        <v>0.194166666666667</v>
      </c>
    </row>
    <row r="171" spans="1:12">
      <c r="A171" s="4" t="s">
        <v>6</v>
      </c>
      <c r="B171" s="4" t="s">
        <v>51</v>
      </c>
      <c r="C171" s="4"/>
      <c r="D171" s="4" t="s">
        <v>135</v>
      </c>
      <c r="E171" s="4" t="s">
        <v>136</v>
      </c>
      <c r="F171" s="4"/>
      <c r="G171" s="4" t="s">
        <v>120</v>
      </c>
      <c r="H171" s="4"/>
      <c r="I171" s="4"/>
      <c r="J171" s="6">
        <v>26.25</v>
      </c>
      <c r="K171" s="6"/>
      <c r="L171" s="6">
        <f t="shared" si="1"/>
        <v>0</v>
      </c>
    </row>
    <row r="172" spans="1:12">
      <c r="A172" s="4" t="s">
        <v>6</v>
      </c>
      <c r="B172" s="4" t="s">
        <v>52</v>
      </c>
      <c r="C172" s="4"/>
      <c r="D172" s="4" t="s">
        <v>135</v>
      </c>
      <c r="E172" s="4" t="s">
        <v>136</v>
      </c>
      <c r="F172" s="4"/>
      <c r="G172" s="4" t="s">
        <v>120</v>
      </c>
      <c r="H172" s="4"/>
      <c r="I172" s="4"/>
      <c r="J172" s="6">
        <v>100</v>
      </c>
      <c r="K172" s="6"/>
      <c r="L172" s="6">
        <f t="shared" si="1"/>
        <v>0.5</v>
      </c>
    </row>
    <row r="173" spans="1:12">
      <c r="A173" s="4" t="s">
        <v>6</v>
      </c>
      <c r="B173" s="4" t="s">
        <v>53</v>
      </c>
      <c r="C173" s="4"/>
      <c r="D173" s="4" t="s">
        <v>135</v>
      </c>
      <c r="E173" s="4" t="s">
        <v>136</v>
      </c>
      <c r="F173" s="4"/>
      <c r="G173" s="4" t="s">
        <v>120</v>
      </c>
      <c r="H173" s="4"/>
      <c r="I173" s="4"/>
      <c r="J173" s="6">
        <v>0</v>
      </c>
      <c r="K173" s="6"/>
      <c r="L173" s="6">
        <f t="shared" si="1"/>
        <v>0</v>
      </c>
    </row>
    <row r="174" spans="1:12">
      <c r="A174" s="4" t="s">
        <v>6</v>
      </c>
      <c r="B174" s="4" t="s">
        <v>54</v>
      </c>
      <c r="C174" s="4"/>
      <c r="D174" s="4" t="s">
        <v>135</v>
      </c>
      <c r="E174" s="4" t="s">
        <v>136</v>
      </c>
      <c r="F174" s="4"/>
      <c r="G174" s="4" t="s">
        <v>120</v>
      </c>
      <c r="H174" s="4"/>
      <c r="I174" s="4"/>
      <c r="J174" s="6">
        <v>100</v>
      </c>
      <c r="K174" s="6"/>
      <c r="L174" s="6">
        <f t="shared" si="1"/>
        <v>0.5</v>
      </c>
    </row>
    <row r="175" spans="1:12">
      <c r="A175" s="4" t="s">
        <v>6</v>
      </c>
      <c r="B175" s="4" t="s">
        <v>55</v>
      </c>
      <c r="C175" s="4"/>
      <c r="D175" s="4" t="s">
        <v>135</v>
      </c>
      <c r="E175" s="4" t="s">
        <v>136</v>
      </c>
      <c r="F175" s="4"/>
      <c r="G175" s="4" t="s">
        <v>120</v>
      </c>
      <c r="H175" s="4"/>
      <c r="I175" s="4"/>
      <c r="J175" s="6">
        <v>10.65</v>
      </c>
      <c r="K175" s="6"/>
      <c r="L175" s="6">
        <f t="shared" si="1"/>
        <v>0</v>
      </c>
    </row>
    <row r="176" spans="1:12">
      <c r="A176" s="4" t="s">
        <v>6</v>
      </c>
      <c r="B176" s="4" t="s">
        <v>56</v>
      </c>
      <c r="C176" s="4"/>
      <c r="D176" s="4" t="s">
        <v>135</v>
      </c>
      <c r="E176" s="4" t="s">
        <v>136</v>
      </c>
      <c r="F176" s="4"/>
      <c r="G176" s="4" t="s">
        <v>120</v>
      </c>
      <c r="H176" s="4"/>
      <c r="I176" s="4"/>
      <c r="J176" s="6">
        <v>11.25</v>
      </c>
      <c r="K176" s="6"/>
      <c r="L176" s="6">
        <f t="shared" si="1"/>
        <v>0</v>
      </c>
    </row>
    <row r="177" spans="1:12">
      <c r="A177" s="4" t="s">
        <v>6</v>
      </c>
      <c r="B177" s="4" t="s">
        <v>57</v>
      </c>
      <c r="C177" s="4"/>
      <c r="D177" s="4" t="s">
        <v>135</v>
      </c>
      <c r="E177" s="4" t="s">
        <v>136</v>
      </c>
      <c r="F177" s="4"/>
      <c r="G177" s="4" t="s">
        <v>120</v>
      </c>
      <c r="H177" s="4"/>
      <c r="I177" s="4"/>
      <c r="J177" s="6">
        <v>61.14</v>
      </c>
      <c r="K177" s="6"/>
      <c r="L177" s="6">
        <f t="shared" si="1"/>
        <v>0.132125</v>
      </c>
    </row>
    <row r="178" spans="1:12">
      <c r="A178" s="4" t="s">
        <v>6</v>
      </c>
      <c r="B178" s="4" t="s">
        <v>58</v>
      </c>
      <c r="C178" s="4"/>
      <c r="D178" s="4" t="s">
        <v>135</v>
      </c>
      <c r="E178" s="4" t="s">
        <v>136</v>
      </c>
      <c r="F178" s="4"/>
      <c r="G178" s="4" t="s">
        <v>120</v>
      </c>
      <c r="H178" s="4"/>
      <c r="I178" s="4"/>
      <c r="J178" s="6">
        <v>0</v>
      </c>
      <c r="K178" s="6"/>
      <c r="L178" s="6">
        <f t="shared" si="1"/>
        <v>0</v>
      </c>
    </row>
    <row r="179" spans="1:12">
      <c r="A179" s="4" t="s">
        <v>6</v>
      </c>
      <c r="B179" s="4" t="s">
        <v>59</v>
      </c>
      <c r="C179" s="4"/>
      <c r="D179" s="4" t="s">
        <v>135</v>
      </c>
      <c r="E179" s="4" t="s">
        <v>136</v>
      </c>
      <c r="F179" s="4"/>
      <c r="G179" s="4" t="s">
        <v>120</v>
      </c>
      <c r="H179" s="4"/>
      <c r="I179" s="4"/>
      <c r="J179" s="6">
        <v>100</v>
      </c>
      <c r="K179" s="6"/>
      <c r="L179" s="6">
        <f t="shared" si="1"/>
        <v>0.5</v>
      </c>
    </row>
    <row r="180" spans="1:12">
      <c r="A180" s="4" t="s">
        <v>9</v>
      </c>
      <c r="B180" s="4" t="s">
        <v>10</v>
      </c>
      <c r="C180" s="4"/>
      <c r="D180" s="4" t="s">
        <v>135</v>
      </c>
      <c r="E180" s="4" t="s">
        <v>136</v>
      </c>
      <c r="F180" s="4"/>
      <c r="G180" s="4" t="s">
        <v>107</v>
      </c>
      <c r="H180" s="4"/>
      <c r="I180" s="4"/>
      <c r="J180" s="6">
        <v>100</v>
      </c>
      <c r="K180" s="6"/>
      <c r="L180" s="6">
        <f t="shared" si="1"/>
        <v>0.5</v>
      </c>
    </row>
    <row r="181" spans="1:12">
      <c r="A181" s="4" t="s">
        <v>9</v>
      </c>
      <c r="B181" s="4" t="s">
        <v>131</v>
      </c>
      <c r="C181" s="4"/>
      <c r="D181" s="4" t="s">
        <v>135</v>
      </c>
      <c r="E181" s="4" t="s">
        <v>136</v>
      </c>
      <c r="F181" s="4"/>
      <c r="G181" s="4" t="s">
        <v>107</v>
      </c>
      <c r="H181" s="4"/>
      <c r="I181" s="4"/>
      <c r="J181" s="6">
        <v>100</v>
      </c>
      <c r="K181" s="6"/>
      <c r="L181" s="6">
        <f t="shared" si="1"/>
        <v>0.5</v>
      </c>
    </row>
    <row r="182" spans="1:12">
      <c r="A182" s="4" t="s">
        <v>9</v>
      </c>
      <c r="B182" s="4" t="s">
        <v>12</v>
      </c>
      <c r="C182" s="4"/>
      <c r="D182" s="4" t="s">
        <v>135</v>
      </c>
      <c r="E182" s="4" t="s">
        <v>136</v>
      </c>
      <c r="F182" s="4"/>
      <c r="G182" s="4" t="s">
        <v>107</v>
      </c>
      <c r="H182" s="4"/>
      <c r="I182" s="4"/>
      <c r="J182" s="6">
        <v>100</v>
      </c>
      <c r="K182" s="6"/>
      <c r="L182" s="6">
        <f t="shared" si="1"/>
        <v>0.5</v>
      </c>
    </row>
    <row r="183" spans="1:12">
      <c r="A183" s="4" t="s">
        <v>9</v>
      </c>
      <c r="B183" s="4" t="s">
        <v>13</v>
      </c>
      <c r="C183" s="4"/>
      <c r="D183" s="4" t="s">
        <v>135</v>
      </c>
      <c r="E183" s="4" t="s">
        <v>136</v>
      </c>
      <c r="F183" s="4"/>
      <c r="G183" s="4" t="s">
        <v>107</v>
      </c>
      <c r="H183" s="4"/>
      <c r="I183" s="4"/>
      <c r="J183" s="6">
        <v>100</v>
      </c>
      <c r="K183" s="6"/>
      <c r="L183" s="6">
        <f t="shared" si="1"/>
        <v>0.5</v>
      </c>
    </row>
    <row r="184" spans="1:12">
      <c r="A184" s="4" t="s">
        <v>9</v>
      </c>
      <c r="B184" s="4" t="s">
        <v>14</v>
      </c>
      <c r="C184" s="4"/>
      <c r="D184" s="4" t="s">
        <v>135</v>
      </c>
      <c r="E184" s="4" t="s">
        <v>136</v>
      </c>
      <c r="F184" s="4"/>
      <c r="G184" s="4" t="s">
        <v>107</v>
      </c>
      <c r="H184" s="4"/>
      <c r="I184" s="4"/>
      <c r="J184" s="6">
        <v>0</v>
      </c>
      <c r="K184" s="6"/>
      <c r="L184" s="6">
        <f t="shared" ref="L184:L215" si="2">IF(J184=100,0.5,IF(J184&lt;60,0,(J184*0.05-2)/8))</f>
        <v>0</v>
      </c>
    </row>
    <row r="185" spans="1:12">
      <c r="A185" s="4" t="s">
        <v>9</v>
      </c>
      <c r="B185" s="4" t="s">
        <v>15</v>
      </c>
      <c r="C185" s="4"/>
      <c r="D185" s="4" t="s">
        <v>135</v>
      </c>
      <c r="E185" s="4" t="s">
        <v>136</v>
      </c>
      <c r="F185" s="4"/>
      <c r="G185" s="4" t="s">
        <v>107</v>
      </c>
      <c r="H185" s="4"/>
      <c r="I185" s="4"/>
      <c r="J185" s="6">
        <v>0</v>
      </c>
      <c r="K185" s="6"/>
      <c r="L185" s="6">
        <f t="shared" si="2"/>
        <v>0</v>
      </c>
    </row>
    <row r="186" spans="1:12">
      <c r="A186" s="4" t="s">
        <v>9</v>
      </c>
      <c r="B186" s="4" t="s">
        <v>16</v>
      </c>
      <c r="C186" s="4"/>
      <c r="D186" s="4" t="s">
        <v>135</v>
      </c>
      <c r="E186" s="4" t="s">
        <v>136</v>
      </c>
      <c r="F186" s="4"/>
      <c r="G186" s="4" t="s">
        <v>107</v>
      </c>
      <c r="H186" s="4"/>
      <c r="I186" s="4"/>
      <c r="J186" s="6">
        <v>100</v>
      </c>
      <c r="K186" s="6"/>
      <c r="L186" s="6">
        <f t="shared" si="2"/>
        <v>0.5</v>
      </c>
    </row>
    <row r="187" spans="1:12">
      <c r="A187" s="4" t="s">
        <v>9</v>
      </c>
      <c r="B187" s="4" t="s">
        <v>17</v>
      </c>
      <c r="C187" s="4"/>
      <c r="D187" s="4" t="s">
        <v>135</v>
      </c>
      <c r="E187" s="4" t="s">
        <v>136</v>
      </c>
      <c r="F187" s="4"/>
      <c r="G187" s="4" t="s">
        <v>107</v>
      </c>
      <c r="H187" s="4"/>
      <c r="I187" s="4"/>
      <c r="J187" s="6">
        <v>100</v>
      </c>
      <c r="K187" s="6"/>
      <c r="L187" s="6">
        <f t="shared" si="2"/>
        <v>0.5</v>
      </c>
    </row>
    <row r="188" spans="1:12">
      <c r="A188" s="4" t="s">
        <v>9</v>
      </c>
      <c r="B188" s="4" t="s">
        <v>18</v>
      </c>
      <c r="C188" s="4"/>
      <c r="D188" s="4" t="s">
        <v>135</v>
      </c>
      <c r="E188" s="4" t="s">
        <v>136</v>
      </c>
      <c r="F188" s="4"/>
      <c r="G188" s="4" t="s">
        <v>107</v>
      </c>
      <c r="H188" s="4"/>
      <c r="I188" s="4"/>
      <c r="J188" s="6">
        <v>0</v>
      </c>
      <c r="K188" s="6"/>
      <c r="L188" s="6">
        <f t="shared" si="2"/>
        <v>0</v>
      </c>
    </row>
    <row r="189" spans="1:12">
      <c r="A189" s="4" t="s">
        <v>9</v>
      </c>
      <c r="B189" s="4" t="s">
        <v>19</v>
      </c>
      <c r="C189" s="4"/>
      <c r="D189" s="4" t="s">
        <v>135</v>
      </c>
      <c r="E189" s="4" t="s">
        <v>136</v>
      </c>
      <c r="F189" s="4"/>
      <c r="G189" s="4" t="s">
        <v>107</v>
      </c>
      <c r="H189" s="4"/>
      <c r="I189" s="4"/>
      <c r="J189" s="6">
        <v>100</v>
      </c>
      <c r="K189" s="6"/>
      <c r="L189" s="6">
        <f t="shared" si="2"/>
        <v>0.5</v>
      </c>
    </row>
    <row r="190" spans="1:12">
      <c r="A190" s="4" t="s">
        <v>9</v>
      </c>
      <c r="B190" s="4" t="s">
        <v>20</v>
      </c>
      <c r="C190" s="4"/>
      <c r="D190" s="4" t="s">
        <v>135</v>
      </c>
      <c r="E190" s="4" t="s">
        <v>136</v>
      </c>
      <c r="F190" s="4"/>
      <c r="G190" s="4" t="s">
        <v>107</v>
      </c>
      <c r="H190" s="4"/>
      <c r="I190" s="4"/>
      <c r="J190" s="6">
        <v>100</v>
      </c>
      <c r="K190" s="6"/>
      <c r="L190" s="6">
        <f t="shared" si="2"/>
        <v>0.5</v>
      </c>
    </row>
    <row r="191" spans="1:12">
      <c r="A191" s="4" t="s">
        <v>9</v>
      </c>
      <c r="B191" s="4" t="s">
        <v>21</v>
      </c>
      <c r="C191" s="4"/>
      <c r="D191" s="4" t="s">
        <v>135</v>
      </c>
      <c r="E191" s="4" t="s">
        <v>136</v>
      </c>
      <c r="F191" s="4"/>
      <c r="G191" s="4" t="s">
        <v>107</v>
      </c>
      <c r="H191" s="4"/>
      <c r="I191" s="4"/>
      <c r="J191" s="6">
        <v>100</v>
      </c>
      <c r="K191" s="6"/>
      <c r="L191" s="6">
        <f t="shared" si="2"/>
        <v>0.5</v>
      </c>
    </row>
    <row r="192" spans="1:12">
      <c r="A192" s="4" t="s">
        <v>9</v>
      </c>
      <c r="B192" s="4" t="s">
        <v>22</v>
      </c>
      <c r="C192" s="4"/>
      <c r="D192" s="4" t="s">
        <v>135</v>
      </c>
      <c r="E192" s="4" t="s">
        <v>136</v>
      </c>
      <c r="F192" s="4"/>
      <c r="G192" s="4" t="s">
        <v>107</v>
      </c>
      <c r="H192" s="4"/>
      <c r="I192" s="4"/>
      <c r="J192" s="6">
        <v>0</v>
      </c>
      <c r="K192" s="6"/>
      <c r="L192" s="6">
        <f t="shared" si="2"/>
        <v>0</v>
      </c>
    </row>
    <row r="193" spans="1:12">
      <c r="A193" s="4" t="s">
        <v>9</v>
      </c>
      <c r="B193" s="4" t="s">
        <v>23</v>
      </c>
      <c r="C193" s="4"/>
      <c r="D193" s="4" t="s">
        <v>135</v>
      </c>
      <c r="E193" s="4" t="s">
        <v>136</v>
      </c>
      <c r="F193" s="4"/>
      <c r="G193" s="4" t="s">
        <v>107</v>
      </c>
      <c r="H193" s="4"/>
      <c r="I193" s="4"/>
      <c r="J193" s="6">
        <v>100</v>
      </c>
      <c r="K193" s="6"/>
      <c r="L193" s="6">
        <f t="shared" si="2"/>
        <v>0.5</v>
      </c>
    </row>
    <row r="194" spans="1:12">
      <c r="A194" s="4" t="s">
        <v>9</v>
      </c>
      <c r="B194" s="4" t="s">
        <v>24</v>
      </c>
      <c r="C194" s="4"/>
      <c r="D194" s="4" t="s">
        <v>135</v>
      </c>
      <c r="E194" s="4" t="s">
        <v>136</v>
      </c>
      <c r="F194" s="4"/>
      <c r="G194" s="4" t="s">
        <v>107</v>
      </c>
      <c r="H194" s="4"/>
      <c r="I194" s="4"/>
      <c r="J194" s="6">
        <v>100</v>
      </c>
      <c r="K194" s="6"/>
      <c r="L194" s="6">
        <f t="shared" si="2"/>
        <v>0.5</v>
      </c>
    </row>
    <row r="195" spans="1:12">
      <c r="A195" s="4" t="s">
        <v>9</v>
      </c>
      <c r="B195" s="4" t="s">
        <v>137</v>
      </c>
      <c r="C195" s="4"/>
      <c r="D195" s="4" t="s">
        <v>135</v>
      </c>
      <c r="E195" s="4" t="s">
        <v>136</v>
      </c>
      <c r="F195" s="4"/>
      <c r="G195" s="4" t="s">
        <v>107</v>
      </c>
      <c r="H195" s="4"/>
      <c r="I195" s="4"/>
      <c r="J195" s="6">
        <v>0</v>
      </c>
      <c r="K195" s="6"/>
      <c r="L195" s="6">
        <f t="shared" si="2"/>
        <v>0</v>
      </c>
    </row>
    <row r="196" spans="1:12">
      <c r="A196" s="4" t="s">
        <v>9</v>
      </c>
      <c r="B196" s="4" t="s">
        <v>25</v>
      </c>
      <c r="C196" s="4"/>
      <c r="D196" s="4" t="s">
        <v>135</v>
      </c>
      <c r="E196" s="4" t="s">
        <v>136</v>
      </c>
      <c r="F196" s="4"/>
      <c r="G196" s="4" t="s">
        <v>107</v>
      </c>
      <c r="H196" s="4"/>
      <c r="I196" s="4"/>
      <c r="J196" s="6">
        <v>0</v>
      </c>
      <c r="K196" s="6"/>
      <c r="L196" s="6">
        <f t="shared" si="2"/>
        <v>0</v>
      </c>
    </row>
    <row r="197" spans="1:12">
      <c r="A197" s="4" t="s">
        <v>9</v>
      </c>
      <c r="B197" s="4" t="s">
        <v>26</v>
      </c>
      <c r="C197" s="4"/>
      <c r="D197" s="4" t="s">
        <v>135</v>
      </c>
      <c r="E197" s="4" t="s">
        <v>136</v>
      </c>
      <c r="F197" s="4"/>
      <c r="G197" s="4" t="s">
        <v>107</v>
      </c>
      <c r="H197" s="4"/>
      <c r="I197" s="4"/>
      <c r="J197" s="6">
        <v>0</v>
      </c>
      <c r="K197" s="6"/>
      <c r="L197" s="6">
        <f t="shared" si="2"/>
        <v>0</v>
      </c>
    </row>
    <row r="198" spans="1:12">
      <c r="A198" s="4" t="s">
        <v>9</v>
      </c>
      <c r="B198" s="4" t="s">
        <v>27</v>
      </c>
      <c r="C198" s="4"/>
      <c r="D198" s="4" t="s">
        <v>135</v>
      </c>
      <c r="E198" s="4" t="s">
        <v>136</v>
      </c>
      <c r="F198" s="4"/>
      <c r="G198" s="4" t="s">
        <v>107</v>
      </c>
      <c r="H198" s="4"/>
      <c r="I198" s="4"/>
      <c r="J198" s="6">
        <v>100</v>
      </c>
      <c r="K198" s="6"/>
      <c r="L198" s="6">
        <f t="shared" si="2"/>
        <v>0.5</v>
      </c>
    </row>
    <row r="199" spans="1:12">
      <c r="A199" s="4" t="s">
        <v>9</v>
      </c>
      <c r="B199" s="4" t="s">
        <v>28</v>
      </c>
      <c r="C199" s="4"/>
      <c r="D199" s="4" t="s">
        <v>135</v>
      </c>
      <c r="E199" s="4" t="s">
        <v>136</v>
      </c>
      <c r="F199" s="4"/>
      <c r="G199" s="4" t="s">
        <v>107</v>
      </c>
      <c r="H199" s="4"/>
      <c r="I199" s="4"/>
      <c r="J199" s="6">
        <v>0</v>
      </c>
      <c r="K199" s="6"/>
      <c r="L199" s="6">
        <f t="shared" si="2"/>
        <v>0</v>
      </c>
    </row>
    <row r="200" spans="1:12">
      <c r="A200" s="4" t="s">
        <v>9</v>
      </c>
      <c r="B200" s="4" t="s">
        <v>29</v>
      </c>
      <c r="C200" s="4"/>
      <c r="D200" s="4" t="s">
        <v>135</v>
      </c>
      <c r="E200" s="4" t="s">
        <v>136</v>
      </c>
      <c r="F200" s="4"/>
      <c r="G200" s="4" t="s">
        <v>107</v>
      </c>
      <c r="H200" s="4"/>
      <c r="I200" s="4"/>
      <c r="J200" s="6">
        <v>0</v>
      </c>
      <c r="K200" s="6"/>
      <c r="L200" s="6">
        <f t="shared" si="2"/>
        <v>0</v>
      </c>
    </row>
    <row r="201" spans="1:12">
      <c r="A201" s="4" t="s">
        <v>9</v>
      </c>
      <c r="B201" s="4" t="s">
        <v>30</v>
      </c>
      <c r="C201" s="4"/>
      <c r="D201" s="4" t="s">
        <v>135</v>
      </c>
      <c r="E201" s="4" t="s">
        <v>136</v>
      </c>
      <c r="F201" s="4"/>
      <c r="G201" s="4" t="s">
        <v>107</v>
      </c>
      <c r="H201" s="4"/>
      <c r="I201" s="4"/>
      <c r="J201" s="6">
        <v>100</v>
      </c>
      <c r="K201" s="6"/>
      <c r="L201" s="6">
        <f t="shared" si="2"/>
        <v>0.5</v>
      </c>
    </row>
    <row r="202" spans="1:12">
      <c r="A202" s="4" t="s">
        <v>9</v>
      </c>
      <c r="B202" s="4" t="s">
        <v>31</v>
      </c>
      <c r="C202" s="4"/>
      <c r="D202" s="4" t="s">
        <v>135</v>
      </c>
      <c r="E202" s="4" t="s">
        <v>136</v>
      </c>
      <c r="F202" s="4"/>
      <c r="G202" s="4" t="s">
        <v>107</v>
      </c>
      <c r="H202" s="4"/>
      <c r="I202" s="4"/>
      <c r="J202" s="6">
        <v>0</v>
      </c>
      <c r="K202" s="6"/>
      <c r="L202" s="6">
        <f t="shared" si="2"/>
        <v>0</v>
      </c>
    </row>
    <row r="203" spans="1:12">
      <c r="A203" s="4" t="s">
        <v>9</v>
      </c>
      <c r="B203" s="4" t="s">
        <v>32</v>
      </c>
      <c r="C203" s="4"/>
      <c r="D203" s="4" t="s">
        <v>135</v>
      </c>
      <c r="E203" s="4" t="s">
        <v>136</v>
      </c>
      <c r="F203" s="4"/>
      <c r="G203" s="4" t="s">
        <v>107</v>
      </c>
      <c r="H203" s="4"/>
      <c r="I203" s="4"/>
      <c r="J203" s="6">
        <v>100</v>
      </c>
      <c r="K203" s="6"/>
      <c r="L203" s="6">
        <f t="shared" si="2"/>
        <v>0.5</v>
      </c>
    </row>
    <row r="204" spans="1:12">
      <c r="A204" s="4" t="s">
        <v>9</v>
      </c>
      <c r="B204" s="4" t="s">
        <v>33</v>
      </c>
      <c r="C204" s="4"/>
      <c r="D204" s="4" t="s">
        <v>135</v>
      </c>
      <c r="E204" s="4" t="s">
        <v>136</v>
      </c>
      <c r="F204" s="4"/>
      <c r="G204" s="4" t="s">
        <v>107</v>
      </c>
      <c r="H204" s="4"/>
      <c r="I204" s="4"/>
      <c r="J204" s="6">
        <v>100</v>
      </c>
      <c r="K204" s="6"/>
      <c r="L204" s="6">
        <f t="shared" si="2"/>
        <v>0.5</v>
      </c>
    </row>
    <row r="205" spans="1:12">
      <c r="A205" s="4" t="s">
        <v>9</v>
      </c>
      <c r="B205" s="4" t="s">
        <v>34</v>
      </c>
      <c r="C205" s="4"/>
      <c r="D205" s="4" t="s">
        <v>135</v>
      </c>
      <c r="E205" s="4" t="s">
        <v>136</v>
      </c>
      <c r="F205" s="4"/>
      <c r="G205" s="4" t="s">
        <v>107</v>
      </c>
      <c r="H205" s="4"/>
      <c r="I205" s="4"/>
      <c r="J205" s="6">
        <v>100</v>
      </c>
      <c r="K205" s="6"/>
      <c r="L205" s="6">
        <f t="shared" si="2"/>
        <v>0.5</v>
      </c>
    </row>
    <row r="206" spans="1:12">
      <c r="A206" s="4" t="s">
        <v>9</v>
      </c>
      <c r="B206" s="4" t="s">
        <v>35</v>
      </c>
      <c r="C206" s="4"/>
      <c r="D206" s="4" t="s">
        <v>135</v>
      </c>
      <c r="E206" s="4" t="s">
        <v>136</v>
      </c>
      <c r="F206" s="4"/>
      <c r="G206" s="4" t="s">
        <v>107</v>
      </c>
      <c r="H206" s="4"/>
      <c r="I206" s="4"/>
      <c r="J206" s="6">
        <v>100</v>
      </c>
      <c r="K206" s="6"/>
      <c r="L206" s="6">
        <f t="shared" si="2"/>
        <v>0.5</v>
      </c>
    </row>
    <row r="207" spans="1:12">
      <c r="A207" s="4" t="s">
        <v>9</v>
      </c>
      <c r="B207" s="4" t="s">
        <v>38</v>
      </c>
      <c r="C207" s="4"/>
      <c r="D207" s="4" t="s">
        <v>135</v>
      </c>
      <c r="E207" s="4" t="s">
        <v>136</v>
      </c>
      <c r="F207" s="4"/>
      <c r="G207" s="4" t="s">
        <v>107</v>
      </c>
      <c r="H207" s="4"/>
      <c r="I207" s="4"/>
      <c r="J207" s="6">
        <v>100</v>
      </c>
      <c r="K207" s="6"/>
      <c r="L207" s="6">
        <f t="shared" si="2"/>
        <v>0.5</v>
      </c>
    </row>
    <row r="208" spans="1:12">
      <c r="A208" s="4" t="s">
        <v>9</v>
      </c>
      <c r="B208" s="4" t="s">
        <v>60</v>
      </c>
      <c r="C208" s="4"/>
      <c r="D208" s="4" t="s">
        <v>135</v>
      </c>
      <c r="E208" s="4" t="s">
        <v>136</v>
      </c>
      <c r="F208" s="4"/>
      <c r="G208" s="4" t="s">
        <v>107</v>
      </c>
      <c r="H208" s="4"/>
      <c r="I208" s="4"/>
      <c r="J208" s="6">
        <v>0</v>
      </c>
      <c r="K208" s="6"/>
      <c r="L208" s="6">
        <f t="shared" si="2"/>
        <v>0</v>
      </c>
    </row>
    <row r="209" spans="1:12">
      <c r="A209" s="4" t="s">
        <v>9</v>
      </c>
      <c r="B209" s="4" t="s">
        <v>61</v>
      </c>
      <c r="C209" s="4"/>
      <c r="D209" s="4" t="s">
        <v>135</v>
      </c>
      <c r="E209" s="4" t="s">
        <v>136</v>
      </c>
      <c r="F209" s="4"/>
      <c r="G209" s="4" t="s">
        <v>107</v>
      </c>
      <c r="H209" s="4"/>
      <c r="I209" s="4"/>
      <c r="J209" s="6">
        <v>0</v>
      </c>
      <c r="K209" s="6"/>
      <c r="L209" s="6">
        <f t="shared" si="2"/>
        <v>0</v>
      </c>
    </row>
    <row r="210" spans="1:12">
      <c r="A210" s="4" t="s">
        <v>9</v>
      </c>
      <c r="B210" s="4" t="s">
        <v>62</v>
      </c>
      <c r="C210" s="4"/>
      <c r="D210" s="4" t="s">
        <v>135</v>
      </c>
      <c r="E210" s="4" t="s">
        <v>136</v>
      </c>
      <c r="F210" s="4"/>
      <c r="G210" s="4" t="s">
        <v>107</v>
      </c>
      <c r="H210" s="4"/>
      <c r="I210" s="4"/>
      <c r="J210" s="6">
        <v>0</v>
      </c>
      <c r="K210" s="6"/>
      <c r="L210" s="6">
        <f t="shared" si="2"/>
        <v>0</v>
      </c>
    </row>
    <row r="211" spans="1:12">
      <c r="A211" s="4" t="s">
        <v>9</v>
      </c>
      <c r="B211" s="4" t="s">
        <v>63</v>
      </c>
      <c r="C211" s="4"/>
      <c r="D211" s="4" t="s">
        <v>135</v>
      </c>
      <c r="E211" s="4" t="s">
        <v>136</v>
      </c>
      <c r="F211" s="4"/>
      <c r="G211" s="4" t="s">
        <v>107</v>
      </c>
      <c r="H211" s="4"/>
      <c r="I211" s="4"/>
      <c r="J211" s="6">
        <v>0</v>
      </c>
      <c r="K211" s="6"/>
      <c r="L211" s="6">
        <f t="shared" si="2"/>
        <v>0</v>
      </c>
    </row>
    <row r="212" spans="1:12">
      <c r="A212" s="4" t="s">
        <v>9</v>
      </c>
      <c r="B212" s="4" t="s">
        <v>138</v>
      </c>
      <c r="C212" s="4"/>
      <c r="D212" s="4" t="s">
        <v>135</v>
      </c>
      <c r="E212" s="4" t="s">
        <v>136</v>
      </c>
      <c r="F212" s="4"/>
      <c r="G212" s="4" t="s">
        <v>107</v>
      </c>
      <c r="H212" s="4"/>
      <c r="I212" s="4"/>
      <c r="J212" s="6">
        <v>100</v>
      </c>
      <c r="K212" s="6"/>
      <c r="L212" s="6">
        <f t="shared" si="2"/>
        <v>0.5</v>
      </c>
    </row>
    <row r="213" spans="1:12">
      <c r="A213" s="4" t="s">
        <v>9</v>
      </c>
      <c r="B213" s="4" t="s">
        <v>64</v>
      </c>
      <c r="C213" s="4"/>
      <c r="D213" s="4" t="s">
        <v>135</v>
      </c>
      <c r="E213" s="4" t="s">
        <v>136</v>
      </c>
      <c r="F213" s="4"/>
      <c r="G213" s="4" t="s">
        <v>107</v>
      </c>
      <c r="H213" s="4"/>
      <c r="I213" s="4"/>
      <c r="J213" s="6">
        <v>0</v>
      </c>
      <c r="K213" s="6"/>
      <c r="L213" s="6">
        <f t="shared" si="2"/>
        <v>0</v>
      </c>
    </row>
    <row r="214" spans="1:12">
      <c r="A214" s="4" t="s">
        <v>6</v>
      </c>
      <c r="B214" s="4" t="s">
        <v>7</v>
      </c>
      <c r="C214" s="4"/>
      <c r="D214" s="4" t="s">
        <v>135</v>
      </c>
      <c r="E214" s="4" t="s">
        <v>136</v>
      </c>
      <c r="F214" s="4"/>
      <c r="G214" s="4" t="s">
        <v>107</v>
      </c>
      <c r="H214" s="4"/>
      <c r="I214" s="4"/>
      <c r="J214" s="6">
        <v>9.79166666666667</v>
      </c>
      <c r="K214" s="6"/>
      <c r="L214" s="6">
        <f t="shared" si="2"/>
        <v>0</v>
      </c>
    </row>
    <row r="215" spans="1:12">
      <c r="A215" s="4" t="s">
        <v>6</v>
      </c>
      <c r="B215" s="4" t="s">
        <v>8</v>
      </c>
      <c r="C215" s="4"/>
      <c r="D215" s="4" t="s">
        <v>135</v>
      </c>
      <c r="E215" s="4" t="s">
        <v>136</v>
      </c>
      <c r="F215" s="4"/>
      <c r="G215" s="4" t="s">
        <v>107</v>
      </c>
      <c r="H215" s="4"/>
      <c r="I215" s="4"/>
      <c r="J215" s="6">
        <v>100</v>
      </c>
      <c r="K215" s="6"/>
      <c r="L215" s="6">
        <f t="shared" si="2"/>
        <v>0.5</v>
      </c>
    </row>
    <row r="216" spans="1:12">
      <c r="A216" s="4" t="s">
        <v>6</v>
      </c>
      <c r="B216" s="4" t="s">
        <v>11</v>
      </c>
      <c r="C216" s="4"/>
      <c r="D216" s="4" t="s">
        <v>135</v>
      </c>
      <c r="E216" s="4" t="s">
        <v>136</v>
      </c>
      <c r="F216" s="4"/>
      <c r="G216" s="4" t="s">
        <v>107</v>
      </c>
      <c r="H216" s="4"/>
      <c r="I216" s="4"/>
      <c r="J216" s="6">
        <v>0</v>
      </c>
      <c r="K216" s="6"/>
      <c r="L216" s="6">
        <f t="shared" ref="L216:L239" si="3">IF(J216=100,0.5,IF(J216&lt;60,0,(J216*0.05-2)/8))</f>
        <v>0</v>
      </c>
    </row>
    <row r="217" spans="1:12">
      <c r="A217" s="4" t="s">
        <v>6</v>
      </c>
      <c r="B217" s="4" t="s">
        <v>36</v>
      </c>
      <c r="C217" s="4"/>
      <c r="D217" s="4" t="s">
        <v>135</v>
      </c>
      <c r="E217" s="4" t="s">
        <v>136</v>
      </c>
      <c r="F217" s="4"/>
      <c r="G217" s="4" t="s">
        <v>107</v>
      </c>
      <c r="H217" s="4"/>
      <c r="I217" s="4"/>
      <c r="J217" s="6">
        <v>0</v>
      </c>
      <c r="K217" s="6"/>
      <c r="L217" s="6">
        <f t="shared" si="3"/>
        <v>0</v>
      </c>
    </row>
    <row r="218" spans="1:12">
      <c r="A218" s="4" t="s">
        <v>6</v>
      </c>
      <c r="B218" s="4" t="s">
        <v>37</v>
      </c>
      <c r="C218" s="4"/>
      <c r="D218" s="4" t="s">
        <v>135</v>
      </c>
      <c r="E218" s="4" t="s">
        <v>136</v>
      </c>
      <c r="F218" s="4"/>
      <c r="G218" s="4" t="s">
        <v>107</v>
      </c>
      <c r="H218" s="4"/>
      <c r="I218" s="4"/>
      <c r="J218" s="6">
        <v>0</v>
      </c>
      <c r="K218" s="6"/>
      <c r="L218" s="6">
        <f t="shared" si="3"/>
        <v>0</v>
      </c>
    </row>
    <row r="219" spans="1:12">
      <c r="A219" s="4" t="s">
        <v>6</v>
      </c>
      <c r="B219" s="4" t="s">
        <v>39</v>
      </c>
      <c r="C219" s="4"/>
      <c r="D219" s="4" t="s">
        <v>135</v>
      </c>
      <c r="E219" s="4" t="s">
        <v>136</v>
      </c>
      <c r="F219" s="4"/>
      <c r="G219" s="4" t="s">
        <v>107</v>
      </c>
      <c r="H219" s="4"/>
      <c r="I219" s="4"/>
      <c r="J219" s="6">
        <v>100</v>
      </c>
      <c r="K219" s="6"/>
      <c r="L219" s="6">
        <f t="shared" si="3"/>
        <v>0.5</v>
      </c>
    </row>
    <row r="220" spans="1:12">
      <c r="A220" s="4" t="s">
        <v>6</v>
      </c>
      <c r="B220" s="4" t="s">
        <v>40</v>
      </c>
      <c r="C220" s="4"/>
      <c r="D220" s="4" t="s">
        <v>135</v>
      </c>
      <c r="E220" s="4" t="s">
        <v>136</v>
      </c>
      <c r="F220" s="4"/>
      <c r="G220" s="4" t="s">
        <v>107</v>
      </c>
      <c r="H220" s="4"/>
      <c r="I220" s="4"/>
      <c r="J220" s="6">
        <v>0</v>
      </c>
      <c r="K220" s="6"/>
      <c r="L220" s="6">
        <f t="shared" si="3"/>
        <v>0</v>
      </c>
    </row>
    <row r="221" spans="1:12">
      <c r="A221" s="4" t="s">
        <v>6</v>
      </c>
      <c r="B221" s="4" t="s">
        <v>41</v>
      </c>
      <c r="C221" s="4"/>
      <c r="D221" s="4" t="s">
        <v>135</v>
      </c>
      <c r="E221" s="4" t="s">
        <v>136</v>
      </c>
      <c r="F221" s="4"/>
      <c r="G221" s="4" t="s">
        <v>107</v>
      </c>
      <c r="H221" s="4"/>
      <c r="I221" s="4"/>
      <c r="J221" s="6">
        <v>100</v>
      </c>
      <c r="K221" s="6"/>
      <c r="L221" s="6">
        <f t="shared" si="3"/>
        <v>0.5</v>
      </c>
    </row>
    <row r="222" spans="1:12">
      <c r="A222" s="4" t="s">
        <v>6</v>
      </c>
      <c r="B222" s="4" t="s">
        <v>42</v>
      </c>
      <c r="C222" s="4"/>
      <c r="D222" s="4" t="s">
        <v>135</v>
      </c>
      <c r="E222" s="4" t="s">
        <v>136</v>
      </c>
      <c r="F222" s="4"/>
      <c r="G222" s="4" t="s">
        <v>107</v>
      </c>
      <c r="H222" s="4"/>
      <c r="I222" s="4"/>
      <c r="J222" s="6">
        <v>100</v>
      </c>
      <c r="K222" s="6"/>
      <c r="L222" s="6">
        <f t="shared" si="3"/>
        <v>0.5</v>
      </c>
    </row>
    <row r="223" spans="1:12">
      <c r="A223" s="4" t="s">
        <v>6</v>
      </c>
      <c r="B223" s="4" t="s">
        <v>43</v>
      </c>
      <c r="C223" s="4"/>
      <c r="D223" s="4" t="s">
        <v>135</v>
      </c>
      <c r="E223" s="4" t="s">
        <v>136</v>
      </c>
      <c r="F223" s="4"/>
      <c r="G223" s="4" t="s">
        <v>107</v>
      </c>
      <c r="H223" s="4"/>
      <c r="I223" s="4"/>
      <c r="J223" s="6">
        <v>100</v>
      </c>
      <c r="K223" s="6"/>
      <c r="L223" s="6">
        <f t="shared" si="3"/>
        <v>0.5</v>
      </c>
    </row>
    <row r="224" spans="1:12">
      <c r="A224" s="4" t="s">
        <v>6</v>
      </c>
      <c r="B224" s="4" t="s">
        <v>44</v>
      </c>
      <c r="C224" s="4"/>
      <c r="D224" s="4" t="s">
        <v>135</v>
      </c>
      <c r="E224" s="4" t="s">
        <v>136</v>
      </c>
      <c r="F224" s="4"/>
      <c r="G224" s="4" t="s">
        <v>107</v>
      </c>
      <c r="H224" s="4"/>
      <c r="I224" s="4"/>
      <c r="J224" s="6">
        <v>100</v>
      </c>
      <c r="K224" s="6"/>
      <c r="L224" s="6">
        <f t="shared" si="3"/>
        <v>0.5</v>
      </c>
    </row>
    <row r="225" spans="1:12">
      <c r="A225" s="4" t="s">
        <v>6</v>
      </c>
      <c r="B225" s="4" t="s">
        <v>45</v>
      </c>
      <c r="C225" s="4"/>
      <c r="D225" s="4" t="s">
        <v>135</v>
      </c>
      <c r="E225" s="4" t="s">
        <v>136</v>
      </c>
      <c r="F225" s="4"/>
      <c r="G225" s="4" t="s">
        <v>107</v>
      </c>
      <c r="H225" s="4"/>
      <c r="I225" s="4"/>
      <c r="J225" s="6">
        <v>100</v>
      </c>
      <c r="K225" s="6"/>
      <c r="L225" s="6">
        <f t="shared" si="3"/>
        <v>0.5</v>
      </c>
    </row>
    <row r="226" spans="1:12">
      <c r="A226" s="4" t="s">
        <v>6</v>
      </c>
      <c r="B226" s="4" t="s">
        <v>46</v>
      </c>
      <c r="C226" s="4"/>
      <c r="D226" s="4" t="s">
        <v>135</v>
      </c>
      <c r="E226" s="4" t="s">
        <v>136</v>
      </c>
      <c r="F226" s="4"/>
      <c r="G226" s="4" t="s">
        <v>107</v>
      </c>
      <c r="H226" s="4"/>
      <c r="I226" s="4"/>
      <c r="J226" s="6">
        <v>100</v>
      </c>
      <c r="K226" s="6"/>
      <c r="L226" s="6">
        <f t="shared" si="3"/>
        <v>0.5</v>
      </c>
    </row>
    <row r="227" spans="1:12">
      <c r="A227" s="4" t="s">
        <v>6</v>
      </c>
      <c r="B227" s="4" t="s">
        <v>47</v>
      </c>
      <c r="C227" s="4"/>
      <c r="D227" s="4" t="s">
        <v>135</v>
      </c>
      <c r="E227" s="4" t="s">
        <v>136</v>
      </c>
      <c r="F227" s="4"/>
      <c r="G227" s="4" t="s">
        <v>107</v>
      </c>
      <c r="H227" s="4"/>
      <c r="I227" s="4"/>
      <c r="J227" s="6">
        <v>100</v>
      </c>
      <c r="K227" s="6"/>
      <c r="L227" s="6">
        <f t="shared" si="3"/>
        <v>0.5</v>
      </c>
    </row>
    <row r="228" spans="1:12">
      <c r="A228" s="4" t="s">
        <v>6</v>
      </c>
      <c r="B228" s="4" t="s">
        <v>48</v>
      </c>
      <c r="C228" s="4"/>
      <c r="D228" s="4" t="s">
        <v>135</v>
      </c>
      <c r="E228" s="4" t="s">
        <v>136</v>
      </c>
      <c r="F228" s="4"/>
      <c r="G228" s="4" t="s">
        <v>107</v>
      </c>
      <c r="H228" s="4"/>
      <c r="I228" s="4"/>
      <c r="J228" s="6">
        <v>100</v>
      </c>
      <c r="K228" s="6"/>
      <c r="L228" s="6">
        <f t="shared" si="3"/>
        <v>0.5</v>
      </c>
    </row>
    <row r="229" spans="1:12">
      <c r="A229" s="4" t="s">
        <v>6</v>
      </c>
      <c r="B229" s="4" t="s">
        <v>49</v>
      </c>
      <c r="C229" s="4"/>
      <c r="D229" s="4" t="s">
        <v>135</v>
      </c>
      <c r="E229" s="4" t="s">
        <v>136</v>
      </c>
      <c r="F229" s="4"/>
      <c r="G229" s="4" t="s">
        <v>107</v>
      </c>
      <c r="H229" s="4"/>
      <c r="I229" s="4"/>
      <c r="J229" s="6">
        <v>100</v>
      </c>
      <c r="K229" s="6"/>
      <c r="L229" s="6">
        <f t="shared" si="3"/>
        <v>0.5</v>
      </c>
    </row>
    <row r="230" spans="1:12">
      <c r="A230" s="4" t="s">
        <v>6</v>
      </c>
      <c r="B230" s="4" t="s">
        <v>50</v>
      </c>
      <c r="C230" s="4"/>
      <c r="D230" s="4" t="s">
        <v>135</v>
      </c>
      <c r="E230" s="4" t="s">
        <v>136</v>
      </c>
      <c r="F230" s="4"/>
      <c r="G230" s="4" t="s">
        <v>107</v>
      </c>
      <c r="H230" s="4"/>
      <c r="I230" s="4"/>
      <c r="J230" s="6">
        <v>100</v>
      </c>
      <c r="K230" s="6"/>
      <c r="L230" s="6">
        <f t="shared" si="3"/>
        <v>0.5</v>
      </c>
    </row>
    <row r="231" spans="1:12">
      <c r="A231" s="4" t="s">
        <v>6</v>
      </c>
      <c r="B231" s="4" t="s">
        <v>51</v>
      </c>
      <c r="C231" s="4"/>
      <c r="D231" s="4" t="s">
        <v>135</v>
      </c>
      <c r="E231" s="4" t="s">
        <v>136</v>
      </c>
      <c r="F231" s="4"/>
      <c r="G231" s="4" t="s">
        <v>107</v>
      </c>
      <c r="H231" s="4"/>
      <c r="I231" s="4"/>
      <c r="J231" s="6">
        <v>0</v>
      </c>
      <c r="K231" s="6"/>
      <c r="L231" s="6">
        <f t="shared" si="3"/>
        <v>0</v>
      </c>
    </row>
    <row r="232" spans="1:12">
      <c r="A232" s="4" t="s">
        <v>6</v>
      </c>
      <c r="B232" s="4" t="s">
        <v>52</v>
      </c>
      <c r="C232" s="4"/>
      <c r="D232" s="4" t="s">
        <v>135</v>
      </c>
      <c r="E232" s="4" t="s">
        <v>136</v>
      </c>
      <c r="F232" s="4"/>
      <c r="G232" s="4" t="s">
        <v>107</v>
      </c>
      <c r="H232" s="4"/>
      <c r="I232" s="4"/>
      <c r="J232" s="6">
        <v>100</v>
      </c>
      <c r="K232" s="6"/>
      <c r="L232" s="6">
        <f t="shared" si="3"/>
        <v>0.5</v>
      </c>
    </row>
    <row r="233" spans="1:12">
      <c r="A233" s="4" t="s">
        <v>6</v>
      </c>
      <c r="B233" s="4" t="s">
        <v>53</v>
      </c>
      <c r="C233" s="4"/>
      <c r="D233" s="4" t="s">
        <v>135</v>
      </c>
      <c r="E233" s="4" t="s">
        <v>136</v>
      </c>
      <c r="F233" s="4"/>
      <c r="G233" s="4" t="s">
        <v>107</v>
      </c>
      <c r="H233" s="4"/>
      <c r="I233" s="4"/>
      <c r="J233" s="6">
        <v>0</v>
      </c>
      <c r="K233" s="6"/>
      <c r="L233" s="6">
        <f t="shared" si="3"/>
        <v>0</v>
      </c>
    </row>
    <row r="234" spans="1:12">
      <c r="A234" s="4" t="s">
        <v>6</v>
      </c>
      <c r="B234" s="4" t="s">
        <v>54</v>
      </c>
      <c r="C234" s="4"/>
      <c r="D234" s="4" t="s">
        <v>135</v>
      </c>
      <c r="E234" s="4" t="s">
        <v>136</v>
      </c>
      <c r="F234" s="4"/>
      <c r="G234" s="4" t="s">
        <v>107</v>
      </c>
      <c r="H234" s="4"/>
      <c r="I234" s="4"/>
      <c r="J234" s="6">
        <v>100</v>
      </c>
      <c r="K234" s="6"/>
      <c r="L234" s="6">
        <f t="shared" si="3"/>
        <v>0.5</v>
      </c>
    </row>
    <row r="235" spans="1:12">
      <c r="A235" s="4" t="s">
        <v>6</v>
      </c>
      <c r="B235" s="4" t="s">
        <v>55</v>
      </c>
      <c r="C235" s="4"/>
      <c r="D235" s="4" t="s">
        <v>135</v>
      </c>
      <c r="E235" s="4" t="s">
        <v>136</v>
      </c>
      <c r="F235" s="4"/>
      <c r="G235" s="4" t="s">
        <v>107</v>
      </c>
      <c r="H235" s="4"/>
      <c r="I235" s="4"/>
      <c r="J235" s="6">
        <v>29.2</v>
      </c>
      <c r="K235" s="6"/>
      <c r="L235" s="6">
        <f t="shared" si="3"/>
        <v>0</v>
      </c>
    </row>
    <row r="236" spans="1:12">
      <c r="A236" s="4" t="s">
        <v>6</v>
      </c>
      <c r="B236" s="4" t="s">
        <v>56</v>
      </c>
      <c r="C236" s="4"/>
      <c r="D236" s="4" t="s">
        <v>135</v>
      </c>
      <c r="E236" s="4" t="s">
        <v>136</v>
      </c>
      <c r="F236" s="4"/>
      <c r="G236" s="4" t="s">
        <v>107</v>
      </c>
      <c r="H236" s="4"/>
      <c r="I236" s="4"/>
      <c r="J236" s="6">
        <v>0</v>
      </c>
      <c r="K236" s="6"/>
      <c r="L236" s="6">
        <f t="shared" si="3"/>
        <v>0</v>
      </c>
    </row>
    <row r="237" spans="1:12">
      <c r="A237" s="4" t="s">
        <v>6</v>
      </c>
      <c r="B237" s="4" t="s">
        <v>57</v>
      </c>
      <c r="C237" s="4"/>
      <c r="D237" s="4" t="s">
        <v>135</v>
      </c>
      <c r="E237" s="4" t="s">
        <v>136</v>
      </c>
      <c r="F237" s="4"/>
      <c r="G237" s="4" t="s">
        <v>107</v>
      </c>
      <c r="H237" s="4"/>
      <c r="I237" s="4"/>
      <c r="J237" s="6">
        <v>100</v>
      </c>
      <c r="K237" s="6"/>
      <c r="L237" s="6">
        <f t="shared" si="3"/>
        <v>0.5</v>
      </c>
    </row>
    <row r="238" spans="1:12">
      <c r="A238" s="4" t="s">
        <v>6</v>
      </c>
      <c r="B238" s="4" t="s">
        <v>58</v>
      </c>
      <c r="C238" s="4"/>
      <c r="D238" s="4" t="s">
        <v>135</v>
      </c>
      <c r="E238" s="4" t="s">
        <v>136</v>
      </c>
      <c r="F238" s="4"/>
      <c r="G238" s="4" t="s">
        <v>107</v>
      </c>
      <c r="H238" s="4"/>
      <c r="I238" s="4"/>
      <c r="J238" s="6">
        <v>0</v>
      </c>
      <c r="K238" s="6"/>
      <c r="L238" s="6">
        <f t="shared" si="3"/>
        <v>0</v>
      </c>
    </row>
    <row r="239" spans="1:12">
      <c r="A239" s="4" t="s">
        <v>6</v>
      </c>
      <c r="B239" s="4" t="s">
        <v>59</v>
      </c>
      <c r="C239" s="4"/>
      <c r="D239" s="4" t="s">
        <v>135</v>
      </c>
      <c r="E239" s="4" t="s">
        <v>136</v>
      </c>
      <c r="F239" s="4"/>
      <c r="G239" s="4" t="s">
        <v>107</v>
      </c>
      <c r="H239" s="4"/>
      <c r="I239" s="4"/>
      <c r="J239" s="6">
        <v>100</v>
      </c>
      <c r="K239" s="6"/>
      <c r="L239" s="6">
        <f t="shared" si="3"/>
        <v>0.5</v>
      </c>
    </row>
  </sheetData>
  <sortState ref="A2:M56">
    <sortCondition ref="D2:D56"/>
  </sortState>
  <dataValidations count="3">
    <dataValidation allowBlank="1" showInputMessage="1" showErrorMessage="1" sqref="D1:E1 F2 F119 E2:E118 E120:E1048576"/>
    <dataValidation type="list" allowBlank="1" showInputMessage="1" showErrorMessage="1" sqref="D2:D1048576">
      <formula1>"体育课程成绩,校内外体育竞赛,校内外体育活动"</formula1>
    </dataValidation>
    <dataValidation type="list" allowBlank="1" showInputMessage="1" showErrorMessage="1" sqref="F3:F118 F120:F1048576 G2:G118">
      <formula1>"上学期,下学期,国家级,省级,市/校级,院级"</formula1>
    </dataValidation>
  </dataValidation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9"/>
  <sheetViews>
    <sheetView topLeftCell="B1" workbookViewId="0">
      <selection activeCell="C15" sqref="C15"/>
    </sheetView>
  </sheetViews>
  <sheetFormatPr defaultColWidth="9.2037037037037" defaultRowHeight="14.4"/>
  <cols>
    <col min="1" max="1" width="21" customWidth="1"/>
    <col min="2" max="2" width="16.7314814814815" customWidth="1"/>
    <col min="3" max="3" width="7.87037037037037" customWidth="1"/>
    <col min="4" max="4" width="22.462962962963" customWidth="1"/>
    <col min="5" max="5" width="50.6018518518519" customWidth="1"/>
    <col min="6" max="6" width="11.537037037037" customWidth="1"/>
    <col min="7" max="8" width="8.12962962962963" customWidth="1"/>
    <col min="9" max="10" width="6" customWidth="1"/>
    <col min="11" max="11" width="15.1296296296296" customWidth="1"/>
    <col min="12" max="12" width="6" customWidth="1"/>
    <col min="13" max="13" width="39.3981481481481" customWidth="1"/>
  </cols>
  <sheetData>
    <row r="1" spans="1:13">
      <c r="A1" s="4" t="s">
        <v>0</v>
      </c>
      <c r="B1" s="4" t="s">
        <v>1</v>
      </c>
      <c r="C1" s="5" t="s">
        <v>2</v>
      </c>
      <c r="D1" s="4" t="s">
        <v>100</v>
      </c>
      <c r="E1" s="4" t="s">
        <v>101</v>
      </c>
      <c r="F1" s="4" t="s">
        <v>102</v>
      </c>
      <c r="G1" s="4" t="s">
        <v>103</v>
      </c>
      <c r="H1" s="4" t="s">
        <v>122</v>
      </c>
      <c r="I1" s="4" t="s">
        <v>123</v>
      </c>
      <c r="J1" s="4" t="s">
        <v>104</v>
      </c>
      <c r="K1" s="4" t="s">
        <v>124</v>
      </c>
      <c r="L1" s="4" t="s">
        <v>99</v>
      </c>
      <c r="M1" s="1"/>
    </row>
    <row r="2" spans="1:13">
      <c r="A2" s="4" t="s">
        <v>9</v>
      </c>
      <c r="B2" s="4" t="s">
        <v>13</v>
      </c>
      <c r="C2" s="4"/>
      <c r="D2" s="4" t="s">
        <v>139</v>
      </c>
      <c r="E2" s="4" t="s">
        <v>140</v>
      </c>
      <c r="F2" s="4" t="s">
        <v>110</v>
      </c>
      <c r="G2" s="4"/>
      <c r="H2" s="4" t="s">
        <v>141</v>
      </c>
      <c r="I2" s="4" t="s">
        <v>142</v>
      </c>
      <c r="J2" s="6">
        <v>0.5</v>
      </c>
      <c r="K2" s="6">
        <v>0.8</v>
      </c>
      <c r="L2" s="6">
        <v>0.4</v>
      </c>
      <c r="M2" s="1"/>
    </row>
    <row r="3" spans="1:12">
      <c r="A3" s="4" t="s">
        <v>9</v>
      </c>
      <c r="B3" s="4" t="s">
        <v>17</v>
      </c>
      <c r="C3" s="4"/>
      <c r="D3" s="4" t="s">
        <v>139</v>
      </c>
      <c r="E3" s="4" t="s">
        <v>140</v>
      </c>
      <c r="F3" s="4" t="s">
        <v>110</v>
      </c>
      <c r="G3" s="4"/>
      <c r="H3" s="4" t="s">
        <v>141</v>
      </c>
      <c r="I3" s="4" t="s">
        <v>128</v>
      </c>
      <c r="J3" s="6">
        <v>0.5</v>
      </c>
      <c r="K3" s="6">
        <v>0.5</v>
      </c>
      <c r="L3" s="6">
        <v>0.25</v>
      </c>
    </row>
    <row r="4" spans="1:12">
      <c r="A4" s="4" t="s">
        <v>9</v>
      </c>
      <c r="B4" s="4" t="s">
        <v>19</v>
      </c>
      <c r="C4" s="4"/>
      <c r="D4" s="4" t="s">
        <v>139</v>
      </c>
      <c r="E4" s="4" t="s">
        <v>140</v>
      </c>
      <c r="F4" s="4" t="s">
        <v>110</v>
      </c>
      <c r="G4" s="4"/>
      <c r="H4" s="4" t="s">
        <v>141</v>
      </c>
      <c r="I4" s="4" t="s">
        <v>128</v>
      </c>
      <c r="J4" s="6">
        <v>0.5</v>
      </c>
      <c r="K4" s="6">
        <v>0.5</v>
      </c>
      <c r="L4" s="6">
        <v>0.25</v>
      </c>
    </row>
    <row r="5" spans="1:12">
      <c r="A5" s="4" t="s">
        <v>9</v>
      </c>
      <c r="B5" s="4" t="s">
        <v>34</v>
      </c>
      <c r="C5" s="4"/>
      <c r="D5" s="4" t="s">
        <v>139</v>
      </c>
      <c r="E5" s="4" t="s">
        <v>140</v>
      </c>
      <c r="F5" s="4" t="s">
        <v>110</v>
      </c>
      <c r="G5" s="4"/>
      <c r="H5" s="4" t="s">
        <v>141</v>
      </c>
      <c r="I5" s="4" t="s">
        <v>128</v>
      </c>
      <c r="J5" s="6">
        <v>0.5</v>
      </c>
      <c r="K5" s="6">
        <v>0.5</v>
      </c>
      <c r="L5" s="6">
        <v>0.25</v>
      </c>
    </row>
    <row r="6" spans="1:12">
      <c r="A6" s="4" t="s">
        <v>9</v>
      </c>
      <c r="B6" s="4" t="s">
        <v>27</v>
      </c>
      <c r="C6" s="4"/>
      <c r="D6" s="4" t="s">
        <v>139</v>
      </c>
      <c r="E6" s="4" t="s">
        <v>143</v>
      </c>
      <c r="F6" s="4" t="s">
        <v>110</v>
      </c>
      <c r="G6" s="4"/>
      <c r="H6" s="4" t="s">
        <v>141</v>
      </c>
      <c r="I6" s="4" t="s">
        <v>128</v>
      </c>
      <c r="J6" s="6">
        <v>0.5</v>
      </c>
      <c r="K6" s="6">
        <v>0.5</v>
      </c>
      <c r="L6" s="6">
        <v>0.25</v>
      </c>
    </row>
    <row r="7" spans="1:12">
      <c r="A7" s="4" t="s">
        <v>9</v>
      </c>
      <c r="B7" s="4" t="s">
        <v>17</v>
      </c>
      <c r="C7" s="4"/>
      <c r="D7" s="4" t="s">
        <v>139</v>
      </c>
      <c r="E7" s="4" t="s">
        <v>144</v>
      </c>
      <c r="F7" s="4" t="s">
        <v>110</v>
      </c>
      <c r="G7" s="4"/>
      <c r="H7" s="4" t="s">
        <v>145</v>
      </c>
      <c r="I7" s="4"/>
      <c r="J7" s="6"/>
      <c r="K7" s="6"/>
      <c r="L7" s="6">
        <v>0.25</v>
      </c>
    </row>
    <row r="8" spans="1:12">
      <c r="A8" s="4" t="s">
        <v>9</v>
      </c>
      <c r="B8" s="4" t="s">
        <v>30</v>
      </c>
      <c r="C8" s="4"/>
      <c r="D8" s="4" t="s">
        <v>139</v>
      </c>
      <c r="E8" s="4" t="s">
        <v>146</v>
      </c>
      <c r="F8" s="4" t="s">
        <v>110</v>
      </c>
      <c r="G8" s="4"/>
      <c r="H8" s="4" t="s">
        <v>147</v>
      </c>
      <c r="I8" s="4"/>
      <c r="J8" s="6">
        <v>0.1</v>
      </c>
      <c r="K8" s="6"/>
      <c r="L8" s="6">
        <v>0.1</v>
      </c>
    </row>
    <row r="9" spans="1:12">
      <c r="A9" s="4" t="s">
        <v>9</v>
      </c>
      <c r="B9" s="4" t="s">
        <v>148</v>
      </c>
      <c r="C9" s="4"/>
      <c r="D9" s="4" t="s">
        <v>139</v>
      </c>
      <c r="E9" s="4" t="s">
        <v>146</v>
      </c>
      <c r="F9" s="4" t="s">
        <v>110</v>
      </c>
      <c r="G9" s="4"/>
      <c r="H9" s="4" t="s">
        <v>147</v>
      </c>
      <c r="I9" s="4"/>
      <c r="J9" s="6">
        <v>0.1</v>
      </c>
      <c r="K9" s="6"/>
      <c r="L9" s="6">
        <v>0.1</v>
      </c>
    </row>
  </sheetData>
  <dataValidations count="3">
    <dataValidation allowBlank="1" showInputMessage="1" showErrorMessage="1" sqref="D1"/>
    <dataValidation type="list" allowBlank="1" showInputMessage="1" showErrorMessage="1" sqref="G3 F2:F1048576">
      <formula1>"上学期,下学期,国家级,市/校级,院级,省级"</formula1>
    </dataValidation>
    <dataValidation type="list" allowBlank="1" showInputMessage="1" showErrorMessage="1" sqref="D2:D1048576">
      <formula1>"文化艺术实践,校内外文化艺术竞赛"</formula1>
    </dataValidation>
  </dataValidation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77"/>
  <sheetViews>
    <sheetView workbookViewId="0">
      <selection activeCell="L68" sqref="L68"/>
    </sheetView>
  </sheetViews>
  <sheetFormatPr defaultColWidth="9.2037037037037" defaultRowHeight="14.4"/>
  <cols>
    <col min="1" max="1" width="19.2685185185185" style="1" customWidth="1"/>
    <col min="2" max="2" width="16.1296296296296" style="1" customWidth="1"/>
    <col min="3" max="3" width="9" style="1" customWidth="1"/>
    <col min="4" max="4" width="22.462962962963" style="1" customWidth="1"/>
    <col min="5" max="5" width="39.537037037037" style="1" customWidth="1"/>
    <col min="6" max="6" width="11.537037037037" style="1" customWidth="1"/>
    <col min="7" max="8" width="6" style="1" customWidth="1"/>
    <col min="9" max="9" width="7.06481481481481" style="7" customWidth="1"/>
    <col min="10" max="10" width="15.1296296296296" style="1" customWidth="1"/>
    <col min="11" max="11" width="7.06481481481481" style="7" customWidth="1"/>
    <col min="12" max="12" width="32.1296296296296" customWidth="1"/>
  </cols>
  <sheetData>
    <row r="1" spans="1:12">
      <c r="A1" s="2" t="s">
        <v>0</v>
      </c>
      <c r="B1" s="2" t="s">
        <v>1</v>
      </c>
      <c r="C1" s="3" t="s">
        <v>2</v>
      </c>
      <c r="D1" s="2" t="s">
        <v>100</v>
      </c>
      <c r="E1" s="2" t="s">
        <v>101</v>
      </c>
      <c r="F1" s="2" t="s">
        <v>102</v>
      </c>
      <c r="G1" s="2" t="s">
        <v>122</v>
      </c>
      <c r="H1" s="2" t="s">
        <v>123</v>
      </c>
      <c r="I1" s="6" t="s">
        <v>104</v>
      </c>
      <c r="J1" s="2" t="s">
        <v>124</v>
      </c>
      <c r="K1" s="6" t="s">
        <v>99</v>
      </c>
      <c r="L1" s="1"/>
    </row>
    <row r="2" spans="1:11">
      <c r="A2" s="4" t="s">
        <v>9</v>
      </c>
      <c r="B2" s="4" t="s">
        <v>10</v>
      </c>
      <c r="C2" s="4"/>
      <c r="D2" s="4" t="s">
        <v>149</v>
      </c>
      <c r="E2" s="4"/>
      <c r="F2" s="4"/>
      <c r="G2" s="4"/>
      <c r="H2" s="4"/>
      <c r="I2" s="6">
        <v>1.56294444444444</v>
      </c>
      <c r="J2" s="6"/>
      <c r="K2" s="6">
        <v>1.56294444444444</v>
      </c>
    </row>
    <row r="3" spans="1:11">
      <c r="A3" s="4" t="s">
        <v>9</v>
      </c>
      <c r="B3" s="4" t="s">
        <v>131</v>
      </c>
      <c r="C3" s="4"/>
      <c r="D3" s="4" t="s">
        <v>149</v>
      </c>
      <c r="E3" s="4"/>
      <c r="F3" s="4"/>
      <c r="G3" s="4"/>
      <c r="H3" s="4"/>
      <c r="I3" s="6">
        <v>1.48333333333333</v>
      </c>
      <c r="J3" s="6"/>
      <c r="K3" s="6">
        <v>1.48333333333333</v>
      </c>
    </row>
    <row r="4" spans="1:11">
      <c r="A4" s="4" t="s">
        <v>9</v>
      </c>
      <c r="B4" s="4" t="s">
        <v>12</v>
      </c>
      <c r="C4" s="4"/>
      <c r="D4" s="4" t="s">
        <v>149</v>
      </c>
      <c r="E4" s="4"/>
      <c r="F4" s="4"/>
      <c r="G4" s="4"/>
      <c r="H4" s="4"/>
      <c r="I4" s="6">
        <v>1.52933333333333</v>
      </c>
      <c r="J4" s="6"/>
      <c r="K4" s="6">
        <v>1.52933333333333</v>
      </c>
    </row>
    <row r="5" spans="1:11">
      <c r="A5" s="4" t="s">
        <v>9</v>
      </c>
      <c r="B5" s="4" t="s">
        <v>13</v>
      </c>
      <c r="C5" s="4"/>
      <c r="D5" s="4" t="s">
        <v>149</v>
      </c>
      <c r="E5" s="4"/>
      <c r="F5" s="4"/>
      <c r="G5" s="4"/>
      <c r="H5" s="4"/>
      <c r="I5" s="6">
        <v>1.52933333333333</v>
      </c>
      <c r="J5" s="6"/>
      <c r="K5" s="6">
        <v>1.52933333333333</v>
      </c>
    </row>
    <row r="6" spans="1:11">
      <c r="A6" s="4" t="s">
        <v>9</v>
      </c>
      <c r="B6" s="4" t="s">
        <v>14</v>
      </c>
      <c r="C6" s="4"/>
      <c r="D6" s="4" t="s">
        <v>149</v>
      </c>
      <c r="E6" s="4"/>
      <c r="F6" s="4"/>
      <c r="G6" s="4"/>
      <c r="H6" s="4"/>
      <c r="I6" s="6">
        <v>1.399</v>
      </c>
      <c r="J6" s="6"/>
      <c r="K6" s="6">
        <v>1.399</v>
      </c>
    </row>
    <row r="7" spans="1:11">
      <c r="A7" s="4" t="s">
        <v>9</v>
      </c>
      <c r="B7" s="4" t="s">
        <v>15</v>
      </c>
      <c r="C7" s="4"/>
      <c r="D7" s="4" t="s">
        <v>149</v>
      </c>
      <c r="E7" s="4"/>
      <c r="F7" s="4"/>
      <c r="G7" s="4"/>
      <c r="H7" s="4"/>
      <c r="I7" s="6">
        <v>1.399</v>
      </c>
      <c r="J7" s="6"/>
      <c r="K7" s="6">
        <v>1.399</v>
      </c>
    </row>
    <row r="8" spans="1:11">
      <c r="A8" s="4" t="s">
        <v>9</v>
      </c>
      <c r="B8" s="4" t="s">
        <v>16</v>
      </c>
      <c r="C8" s="4"/>
      <c r="D8" s="4" t="s">
        <v>149</v>
      </c>
      <c r="E8" s="4"/>
      <c r="F8" s="4"/>
      <c r="G8" s="4"/>
      <c r="H8" s="4"/>
      <c r="I8" s="6">
        <v>1.52933333333333</v>
      </c>
      <c r="J8" s="6"/>
      <c r="K8" s="6">
        <v>1.52933333333333</v>
      </c>
    </row>
    <row r="9" spans="1:11">
      <c r="A9" s="4" t="s">
        <v>9</v>
      </c>
      <c r="B9" s="4" t="s">
        <v>17</v>
      </c>
      <c r="C9" s="4"/>
      <c r="D9" s="4" t="s">
        <v>149</v>
      </c>
      <c r="E9" s="4"/>
      <c r="F9" s="4"/>
      <c r="G9" s="4"/>
      <c r="H9" s="4"/>
      <c r="I9" s="6">
        <v>1.52933333333333</v>
      </c>
      <c r="J9" s="6"/>
      <c r="K9" s="6">
        <v>1.52933333333333</v>
      </c>
    </row>
    <row r="10" spans="1:11">
      <c r="A10" s="4" t="s">
        <v>9</v>
      </c>
      <c r="B10" s="4" t="s">
        <v>18</v>
      </c>
      <c r="C10" s="4"/>
      <c r="D10" s="4" t="s">
        <v>149</v>
      </c>
      <c r="E10" s="4"/>
      <c r="F10" s="4"/>
      <c r="G10" s="4"/>
      <c r="H10" s="4"/>
      <c r="I10" s="6">
        <v>1.399</v>
      </c>
      <c r="J10" s="6"/>
      <c r="K10" s="6">
        <v>1.399</v>
      </c>
    </row>
    <row r="11" spans="1:11">
      <c r="A11" s="4" t="s">
        <v>9</v>
      </c>
      <c r="B11" s="4" t="s">
        <v>19</v>
      </c>
      <c r="C11" s="4"/>
      <c r="D11" s="4" t="s">
        <v>149</v>
      </c>
      <c r="E11" s="4"/>
      <c r="F11" s="4"/>
      <c r="G11" s="4"/>
      <c r="H11" s="4"/>
      <c r="I11" s="6">
        <v>1.399</v>
      </c>
      <c r="J11" s="6"/>
      <c r="K11" s="6">
        <v>1.399</v>
      </c>
    </row>
    <row r="12" spans="1:11">
      <c r="A12" s="4" t="s">
        <v>9</v>
      </c>
      <c r="B12" s="4" t="s">
        <v>20</v>
      </c>
      <c r="C12" s="4"/>
      <c r="D12" s="4" t="s">
        <v>149</v>
      </c>
      <c r="E12" s="4"/>
      <c r="F12" s="4"/>
      <c r="G12" s="4"/>
      <c r="H12" s="4"/>
      <c r="I12" s="6">
        <v>1.3665</v>
      </c>
      <c r="J12" s="6"/>
      <c r="K12" s="6">
        <v>1.3665</v>
      </c>
    </row>
    <row r="13" spans="1:11">
      <c r="A13" s="4" t="s">
        <v>9</v>
      </c>
      <c r="B13" s="4" t="s">
        <v>21</v>
      </c>
      <c r="C13" s="4"/>
      <c r="D13" s="4" t="s">
        <v>149</v>
      </c>
      <c r="E13" s="4"/>
      <c r="F13" s="4"/>
      <c r="G13" s="4"/>
      <c r="H13" s="4"/>
      <c r="I13" s="6">
        <v>1.39080952380952</v>
      </c>
      <c r="J13" s="6"/>
      <c r="K13" s="6">
        <v>1.39080952380952</v>
      </c>
    </row>
    <row r="14" spans="1:11">
      <c r="A14" s="4" t="s">
        <v>9</v>
      </c>
      <c r="B14" s="4" t="s">
        <v>22</v>
      </c>
      <c r="C14" s="4"/>
      <c r="D14" s="4" t="s">
        <v>149</v>
      </c>
      <c r="E14" s="4"/>
      <c r="F14" s="4"/>
      <c r="G14" s="4"/>
      <c r="H14" s="4"/>
      <c r="I14" s="6">
        <v>1.484</v>
      </c>
      <c r="J14" s="6"/>
      <c r="K14" s="6">
        <v>1.484</v>
      </c>
    </row>
    <row r="15" spans="1:11">
      <c r="A15" s="4" t="s">
        <v>9</v>
      </c>
      <c r="B15" s="4" t="s">
        <v>23</v>
      </c>
      <c r="C15" s="4"/>
      <c r="D15" s="4" t="s">
        <v>149</v>
      </c>
      <c r="E15" s="4"/>
      <c r="F15" s="4"/>
      <c r="G15" s="4"/>
      <c r="H15" s="4"/>
      <c r="I15" s="6">
        <v>1.3684</v>
      </c>
      <c r="J15" s="6"/>
      <c r="K15" s="6">
        <v>1.3684</v>
      </c>
    </row>
    <row r="16" spans="1:11">
      <c r="A16" s="4" t="s">
        <v>9</v>
      </c>
      <c r="B16" s="4" t="s">
        <v>24</v>
      </c>
      <c r="C16" s="4"/>
      <c r="D16" s="4" t="s">
        <v>149</v>
      </c>
      <c r="E16" s="4"/>
      <c r="F16" s="4"/>
      <c r="G16" s="4"/>
      <c r="H16" s="4"/>
      <c r="I16" s="6">
        <v>1.46966666666667</v>
      </c>
      <c r="J16" s="6"/>
      <c r="K16" s="6">
        <v>1.46966666666667</v>
      </c>
    </row>
    <row r="17" spans="1:11">
      <c r="A17" s="4" t="s">
        <v>9</v>
      </c>
      <c r="B17" s="4" t="s">
        <v>25</v>
      </c>
      <c r="C17" s="4"/>
      <c r="D17" s="4" t="s">
        <v>149</v>
      </c>
      <c r="E17" s="4"/>
      <c r="F17" s="4"/>
      <c r="G17" s="4"/>
      <c r="H17" s="4"/>
      <c r="I17" s="6">
        <v>1.3684</v>
      </c>
      <c r="J17" s="6"/>
      <c r="K17" s="6">
        <v>1.3684</v>
      </c>
    </row>
    <row r="18" spans="1:11">
      <c r="A18" s="4" t="s">
        <v>9</v>
      </c>
      <c r="B18" s="4" t="s">
        <v>26</v>
      </c>
      <c r="C18" s="4"/>
      <c r="D18" s="4" t="s">
        <v>149</v>
      </c>
      <c r="E18" s="4"/>
      <c r="F18" s="4"/>
      <c r="G18" s="4"/>
      <c r="H18" s="4"/>
      <c r="I18" s="6">
        <v>1.57716666666667</v>
      </c>
      <c r="J18" s="6"/>
      <c r="K18" s="6">
        <v>1.57716666666667</v>
      </c>
    </row>
    <row r="19" spans="1:11">
      <c r="A19" s="4" t="s">
        <v>9</v>
      </c>
      <c r="B19" s="4" t="s">
        <v>27</v>
      </c>
      <c r="C19" s="4"/>
      <c r="D19" s="4" t="s">
        <v>149</v>
      </c>
      <c r="E19" s="4"/>
      <c r="F19" s="4"/>
      <c r="G19" s="4"/>
      <c r="H19" s="4"/>
      <c r="I19" s="6">
        <v>1.54966666666667</v>
      </c>
      <c r="J19" s="6"/>
      <c r="K19" s="6">
        <v>1.54966666666667</v>
      </c>
    </row>
    <row r="20" spans="1:11">
      <c r="A20" s="4" t="s">
        <v>9</v>
      </c>
      <c r="B20" s="4" t="s">
        <v>28</v>
      </c>
      <c r="C20" s="4"/>
      <c r="D20" s="4" t="s">
        <v>149</v>
      </c>
      <c r="E20" s="4"/>
      <c r="F20" s="4"/>
      <c r="G20" s="4"/>
      <c r="H20" s="4"/>
      <c r="I20" s="6">
        <v>1.428</v>
      </c>
      <c r="J20" s="6"/>
      <c r="K20" s="6">
        <v>1.428</v>
      </c>
    </row>
    <row r="21" spans="1:11">
      <c r="A21" s="4" t="s">
        <v>9</v>
      </c>
      <c r="B21" s="4" t="s">
        <v>29</v>
      </c>
      <c r="C21" s="4"/>
      <c r="D21" s="4" t="s">
        <v>149</v>
      </c>
      <c r="E21" s="4"/>
      <c r="F21" s="4"/>
      <c r="G21" s="4"/>
      <c r="H21" s="4"/>
      <c r="I21" s="6">
        <v>1.428</v>
      </c>
      <c r="J21" s="6"/>
      <c r="K21" s="6">
        <v>1.428</v>
      </c>
    </row>
    <row r="22" spans="1:11">
      <c r="A22" s="4" t="s">
        <v>9</v>
      </c>
      <c r="B22" s="4" t="s">
        <v>30</v>
      </c>
      <c r="C22" s="4"/>
      <c r="D22" s="4" t="s">
        <v>149</v>
      </c>
      <c r="E22" s="4"/>
      <c r="F22" s="4"/>
      <c r="G22" s="4"/>
      <c r="H22" s="4"/>
      <c r="I22" s="6">
        <v>1.59186666666667</v>
      </c>
      <c r="J22" s="6"/>
      <c r="K22" s="6">
        <v>1.59186666666667</v>
      </c>
    </row>
    <row r="23" spans="1:11">
      <c r="A23" s="4" t="s">
        <v>9</v>
      </c>
      <c r="B23" s="4" t="s">
        <v>31</v>
      </c>
      <c r="C23" s="4"/>
      <c r="D23" s="4" t="s">
        <v>149</v>
      </c>
      <c r="E23" s="4"/>
      <c r="F23" s="4"/>
      <c r="G23" s="4"/>
      <c r="H23" s="4"/>
      <c r="I23" s="6">
        <v>1.428</v>
      </c>
      <c r="J23" s="6"/>
      <c r="K23" s="6">
        <v>1.428</v>
      </c>
    </row>
    <row r="24" spans="1:11">
      <c r="A24" s="4" t="s">
        <v>9</v>
      </c>
      <c r="B24" s="4" t="s">
        <v>32</v>
      </c>
      <c r="C24" s="4"/>
      <c r="D24" s="4" t="s">
        <v>149</v>
      </c>
      <c r="E24" s="4"/>
      <c r="F24" s="4"/>
      <c r="G24" s="4"/>
      <c r="H24" s="4"/>
      <c r="I24" s="6">
        <v>1.4828</v>
      </c>
      <c r="J24" s="6"/>
      <c r="K24" s="6">
        <v>1.4828</v>
      </c>
    </row>
    <row r="25" spans="1:11">
      <c r="A25" s="4" t="s">
        <v>9</v>
      </c>
      <c r="B25" s="4" t="s">
        <v>33</v>
      </c>
      <c r="C25" s="4"/>
      <c r="D25" s="4" t="s">
        <v>149</v>
      </c>
      <c r="E25" s="4"/>
      <c r="F25" s="4"/>
      <c r="G25" s="4"/>
      <c r="H25" s="4"/>
      <c r="I25" s="6">
        <v>1.428</v>
      </c>
      <c r="J25" s="6"/>
      <c r="K25" s="6">
        <v>1.428</v>
      </c>
    </row>
    <row r="26" spans="1:11">
      <c r="A26" s="4" t="s">
        <v>9</v>
      </c>
      <c r="B26" s="4" t="s">
        <v>34</v>
      </c>
      <c r="C26" s="4"/>
      <c r="D26" s="4" t="s">
        <v>149</v>
      </c>
      <c r="E26" s="4"/>
      <c r="F26" s="4"/>
      <c r="G26" s="4"/>
      <c r="H26" s="4"/>
      <c r="I26" s="6">
        <v>1.45651587301587</v>
      </c>
      <c r="J26" s="6"/>
      <c r="K26" s="6">
        <v>1.45651587301587</v>
      </c>
    </row>
    <row r="27" spans="1:11">
      <c r="A27" s="4" t="s">
        <v>9</v>
      </c>
      <c r="B27" s="4" t="s">
        <v>35</v>
      </c>
      <c r="C27" s="4"/>
      <c r="D27" s="4" t="s">
        <v>149</v>
      </c>
      <c r="E27" s="4"/>
      <c r="F27" s="4"/>
      <c r="G27" s="4"/>
      <c r="H27" s="4"/>
      <c r="I27" s="6">
        <v>1.54366666666667</v>
      </c>
      <c r="J27" s="6"/>
      <c r="K27" s="6">
        <v>1.54366666666667</v>
      </c>
    </row>
    <row r="28" spans="1:11">
      <c r="A28" s="4" t="s">
        <v>9</v>
      </c>
      <c r="B28" s="4" t="s">
        <v>38</v>
      </c>
      <c r="C28" s="4"/>
      <c r="D28" s="4" t="s">
        <v>149</v>
      </c>
      <c r="E28" s="4"/>
      <c r="F28" s="4"/>
      <c r="G28" s="4"/>
      <c r="H28" s="4"/>
      <c r="I28" s="6">
        <v>1.65013333333333</v>
      </c>
      <c r="J28" s="6"/>
      <c r="K28" s="6">
        <v>1.65013333333333</v>
      </c>
    </row>
    <row r="29" spans="1:11">
      <c r="A29" s="4" t="s">
        <v>9</v>
      </c>
      <c r="B29" s="4" t="s">
        <v>60</v>
      </c>
      <c r="C29" s="4"/>
      <c r="D29" s="4" t="s">
        <v>149</v>
      </c>
      <c r="E29" s="4"/>
      <c r="F29" s="4"/>
      <c r="G29" s="4"/>
      <c r="H29" s="4"/>
      <c r="I29" s="6">
        <v>1.42195238095238</v>
      </c>
      <c r="J29" s="6"/>
      <c r="K29" s="6">
        <v>1.42195238095238</v>
      </c>
    </row>
    <row r="30" spans="1:11">
      <c r="A30" s="4" t="s">
        <v>9</v>
      </c>
      <c r="B30" s="4" t="s">
        <v>61</v>
      </c>
      <c r="C30" s="4"/>
      <c r="D30" s="4" t="s">
        <v>149</v>
      </c>
      <c r="E30" s="4"/>
      <c r="F30" s="4"/>
      <c r="G30" s="4"/>
      <c r="H30" s="4"/>
      <c r="I30" s="6">
        <v>1.359</v>
      </c>
      <c r="J30" s="6"/>
      <c r="K30" s="6">
        <v>1.359</v>
      </c>
    </row>
    <row r="31" spans="1:11">
      <c r="A31" s="4" t="s">
        <v>9</v>
      </c>
      <c r="B31" s="4" t="s">
        <v>63</v>
      </c>
      <c r="C31" s="4"/>
      <c r="D31" s="4" t="s">
        <v>149</v>
      </c>
      <c r="E31" s="4"/>
      <c r="F31" s="4"/>
      <c r="G31" s="4"/>
      <c r="H31" s="4"/>
      <c r="I31" s="6">
        <v>1.5946</v>
      </c>
      <c r="J31" s="6"/>
      <c r="K31" s="6">
        <v>1.5946</v>
      </c>
    </row>
    <row r="32" spans="1:11">
      <c r="A32" s="4" t="s">
        <v>9</v>
      </c>
      <c r="B32" s="4" t="s">
        <v>138</v>
      </c>
      <c r="C32" s="4"/>
      <c r="D32" s="4" t="s">
        <v>149</v>
      </c>
      <c r="E32" s="4"/>
      <c r="F32" s="4"/>
      <c r="G32" s="4"/>
      <c r="H32" s="4"/>
      <c r="I32" s="6">
        <v>1.57746666666667</v>
      </c>
      <c r="J32" s="6"/>
      <c r="K32" s="6">
        <v>1.57746666666667</v>
      </c>
    </row>
    <row r="33" spans="1:11">
      <c r="A33" s="4" t="s">
        <v>9</v>
      </c>
      <c r="B33" s="4" t="s">
        <v>64</v>
      </c>
      <c r="C33" s="4"/>
      <c r="D33" s="4" t="s">
        <v>149</v>
      </c>
      <c r="E33" s="4"/>
      <c r="F33" s="4"/>
      <c r="G33" s="4"/>
      <c r="H33" s="4"/>
      <c r="I33" s="6">
        <v>1.59161111111111</v>
      </c>
      <c r="J33" s="6"/>
      <c r="K33" s="6">
        <v>1.59161111111111</v>
      </c>
    </row>
    <row r="34" spans="1:11">
      <c r="A34" s="4" t="s">
        <v>6</v>
      </c>
      <c r="B34" s="4" t="s">
        <v>7</v>
      </c>
      <c r="C34" s="4"/>
      <c r="D34" s="4" t="s">
        <v>149</v>
      </c>
      <c r="E34" s="4"/>
      <c r="F34" s="4"/>
      <c r="G34" s="4"/>
      <c r="H34" s="4"/>
      <c r="I34" s="6">
        <v>1.36566666666667</v>
      </c>
      <c r="J34" s="6"/>
      <c r="K34" s="6">
        <v>1.36566666666667</v>
      </c>
    </row>
    <row r="35" spans="1:11">
      <c r="A35" s="4" t="s">
        <v>6</v>
      </c>
      <c r="B35" s="4" t="s">
        <v>11</v>
      </c>
      <c r="C35" s="4"/>
      <c r="D35" s="4" t="s">
        <v>149</v>
      </c>
      <c r="E35" s="4"/>
      <c r="F35" s="4"/>
      <c r="G35" s="4"/>
      <c r="H35" s="4"/>
      <c r="I35" s="6">
        <v>1.43809523809524</v>
      </c>
      <c r="J35" s="6"/>
      <c r="K35" s="6">
        <v>1.43809523809524</v>
      </c>
    </row>
    <row r="36" spans="1:11">
      <c r="A36" s="4" t="s">
        <v>6</v>
      </c>
      <c r="B36" s="4" t="s">
        <v>36</v>
      </c>
      <c r="C36" s="4"/>
      <c r="D36" s="4" t="s">
        <v>149</v>
      </c>
      <c r="E36" s="4"/>
      <c r="F36" s="4"/>
      <c r="G36" s="4"/>
      <c r="H36" s="4"/>
      <c r="I36" s="6">
        <v>1.54366666666667</v>
      </c>
      <c r="J36" s="6"/>
      <c r="K36" s="6">
        <v>1.54366666666667</v>
      </c>
    </row>
    <row r="37" spans="1:11">
      <c r="A37" s="4" t="s">
        <v>6</v>
      </c>
      <c r="B37" s="4" t="s">
        <v>37</v>
      </c>
      <c r="C37" s="4"/>
      <c r="D37" s="4" t="s">
        <v>149</v>
      </c>
      <c r="E37" s="4"/>
      <c r="F37" s="4"/>
      <c r="G37" s="4"/>
      <c r="H37" s="4"/>
      <c r="I37" s="6">
        <v>1.389</v>
      </c>
      <c r="J37" s="6"/>
      <c r="K37" s="6">
        <v>1.389</v>
      </c>
    </row>
    <row r="38" spans="1:11">
      <c r="A38" s="4" t="s">
        <v>6</v>
      </c>
      <c r="B38" s="4" t="s">
        <v>39</v>
      </c>
      <c r="C38" s="4"/>
      <c r="D38" s="4" t="s">
        <v>149</v>
      </c>
      <c r="E38" s="4"/>
      <c r="F38" s="4"/>
      <c r="G38" s="4"/>
      <c r="H38" s="4"/>
      <c r="I38" s="6">
        <v>1.46053333333333</v>
      </c>
      <c r="J38" s="6"/>
      <c r="K38" s="6">
        <v>1.46053333333333</v>
      </c>
    </row>
    <row r="39" spans="1:11">
      <c r="A39" s="4" t="s">
        <v>6</v>
      </c>
      <c r="B39" s="4" t="s">
        <v>40</v>
      </c>
      <c r="C39" s="4"/>
      <c r="D39" s="4" t="s">
        <v>149</v>
      </c>
      <c r="E39" s="4"/>
      <c r="F39" s="4"/>
      <c r="G39" s="4"/>
      <c r="H39" s="4"/>
      <c r="I39" s="6">
        <v>1.4828</v>
      </c>
      <c r="J39" s="6"/>
      <c r="K39" s="6">
        <v>1.4828</v>
      </c>
    </row>
    <row r="40" spans="1:11">
      <c r="A40" s="4" t="s">
        <v>6</v>
      </c>
      <c r="B40" s="4" t="s">
        <v>41</v>
      </c>
      <c r="C40" s="4"/>
      <c r="D40" s="4" t="s">
        <v>149</v>
      </c>
      <c r="E40" s="4"/>
      <c r="F40" s="4"/>
      <c r="G40" s="4"/>
      <c r="H40" s="4"/>
      <c r="I40" s="6">
        <v>1.5292</v>
      </c>
      <c r="J40" s="6"/>
      <c r="K40" s="6">
        <v>1.5292</v>
      </c>
    </row>
    <row r="41" spans="1:11">
      <c r="A41" s="4" t="s">
        <v>6</v>
      </c>
      <c r="B41" s="4" t="s">
        <v>42</v>
      </c>
      <c r="C41" s="4"/>
      <c r="D41" s="4" t="s">
        <v>149</v>
      </c>
      <c r="E41" s="4"/>
      <c r="F41" s="4"/>
      <c r="G41" s="4"/>
      <c r="H41" s="4"/>
      <c r="I41" s="6">
        <v>1.5292</v>
      </c>
      <c r="J41" s="6"/>
      <c r="K41" s="6">
        <v>1.5292</v>
      </c>
    </row>
    <row r="42" spans="1:11">
      <c r="A42" s="4" t="s">
        <v>6</v>
      </c>
      <c r="B42" s="4" t="s">
        <v>43</v>
      </c>
      <c r="C42" s="4"/>
      <c r="D42" s="4" t="s">
        <v>149</v>
      </c>
      <c r="E42" s="4"/>
      <c r="F42" s="4"/>
      <c r="G42" s="4"/>
      <c r="H42" s="4"/>
      <c r="I42" s="6">
        <v>1.4416</v>
      </c>
      <c r="J42" s="6"/>
      <c r="K42" s="6">
        <v>1.4416</v>
      </c>
    </row>
    <row r="43" spans="1:11">
      <c r="A43" s="4" t="s">
        <v>6</v>
      </c>
      <c r="B43" s="4" t="s">
        <v>44</v>
      </c>
      <c r="C43" s="4"/>
      <c r="D43" s="4" t="s">
        <v>149</v>
      </c>
      <c r="E43" s="4"/>
      <c r="F43" s="4"/>
      <c r="G43" s="4"/>
      <c r="H43" s="4"/>
      <c r="I43" s="6">
        <v>1.45651587301587</v>
      </c>
      <c r="J43" s="6"/>
      <c r="K43" s="6">
        <v>1.45651587301587</v>
      </c>
    </row>
    <row r="44" spans="1:11">
      <c r="A44" s="4" t="s">
        <v>6</v>
      </c>
      <c r="B44" s="4" t="s">
        <v>45</v>
      </c>
      <c r="C44" s="4"/>
      <c r="D44" s="4" t="s">
        <v>149</v>
      </c>
      <c r="E44" s="4"/>
      <c r="F44" s="4"/>
      <c r="G44" s="4"/>
      <c r="H44" s="4"/>
      <c r="I44" s="6">
        <v>1.51683333333333</v>
      </c>
      <c r="J44" s="6"/>
      <c r="K44" s="6">
        <v>1.51683333333333</v>
      </c>
    </row>
    <row r="45" spans="1:11">
      <c r="A45" s="4" t="s">
        <v>6</v>
      </c>
      <c r="B45" s="4" t="s">
        <v>46</v>
      </c>
      <c r="C45" s="4"/>
      <c r="D45" s="4" t="s">
        <v>149</v>
      </c>
      <c r="E45" s="4"/>
      <c r="F45" s="4"/>
      <c r="G45" s="4"/>
      <c r="H45" s="4"/>
      <c r="I45" s="6">
        <v>1.5532</v>
      </c>
      <c r="J45" s="6"/>
      <c r="K45" s="6">
        <v>1.5532</v>
      </c>
    </row>
    <row r="46" spans="1:11">
      <c r="A46" s="4" t="s">
        <v>6</v>
      </c>
      <c r="B46" s="4" t="s">
        <v>47</v>
      </c>
      <c r="C46" s="4"/>
      <c r="D46" s="4" t="s">
        <v>149</v>
      </c>
      <c r="E46" s="4"/>
      <c r="F46" s="4"/>
      <c r="G46" s="4"/>
      <c r="H46" s="4"/>
      <c r="I46" s="6">
        <v>1.5532</v>
      </c>
      <c r="J46" s="6"/>
      <c r="K46" s="6">
        <v>1.5532</v>
      </c>
    </row>
    <row r="47" spans="1:11">
      <c r="A47" s="4" t="s">
        <v>6</v>
      </c>
      <c r="B47" s="4" t="s">
        <v>48</v>
      </c>
      <c r="C47" s="4"/>
      <c r="D47" s="4" t="s">
        <v>149</v>
      </c>
      <c r="E47" s="4"/>
      <c r="F47" s="4"/>
      <c r="G47" s="4"/>
      <c r="H47" s="4"/>
      <c r="I47" s="6">
        <v>1.51683333333333</v>
      </c>
      <c r="J47" s="6"/>
      <c r="K47" s="6">
        <v>1.51683333333333</v>
      </c>
    </row>
    <row r="48" spans="1:11">
      <c r="A48" s="4" t="s">
        <v>6</v>
      </c>
      <c r="B48" s="4" t="s">
        <v>49</v>
      </c>
      <c r="C48" s="4"/>
      <c r="D48" s="4" t="s">
        <v>149</v>
      </c>
      <c r="E48" s="4"/>
      <c r="F48" s="4"/>
      <c r="G48" s="4"/>
      <c r="H48" s="4"/>
      <c r="I48" s="6">
        <v>1.51683333333333</v>
      </c>
      <c r="J48" s="6"/>
      <c r="K48" s="6">
        <v>1.51683333333333</v>
      </c>
    </row>
    <row r="49" spans="1:11">
      <c r="A49" s="4" t="s">
        <v>6</v>
      </c>
      <c r="B49" s="4" t="s">
        <v>50</v>
      </c>
      <c r="C49" s="4"/>
      <c r="D49" s="4" t="s">
        <v>149</v>
      </c>
      <c r="E49" s="4"/>
      <c r="F49" s="4"/>
      <c r="G49" s="4"/>
      <c r="H49" s="4"/>
      <c r="I49" s="6">
        <v>1.51683333333333</v>
      </c>
      <c r="J49" s="6"/>
      <c r="K49" s="6">
        <v>1.51683333333333</v>
      </c>
    </row>
    <row r="50" spans="1:11">
      <c r="A50" s="4" t="s">
        <v>6</v>
      </c>
      <c r="B50" s="4" t="s">
        <v>51</v>
      </c>
      <c r="C50" s="4"/>
      <c r="D50" s="4" t="s">
        <v>149</v>
      </c>
      <c r="E50" s="4"/>
      <c r="F50" s="4"/>
      <c r="G50" s="4"/>
      <c r="H50" s="4"/>
      <c r="I50" s="6">
        <v>1.57716666666667</v>
      </c>
      <c r="J50" s="6"/>
      <c r="K50" s="6">
        <v>1.57716666666667</v>
      </c>
    </row>
    <row r="51" spans="1:11">
      <c r="A51" s="4" t="s">
        <v>6</v>
      </c>
      <c r="B51" s="4" t="s">
        <v>52</v>
      </c>
      <c r="C51" s="4"/>
      <c r="D51" s="4" t="s">
        <v>149</v>
      </c>
      <c r="E51" s="4"/>
      <c r="F51" s="4"/>
      <c r="G51" s="4"/>
      <c r="H51" s="4"/>
      <c r="I51" s="6">
        <v>1.4416</v>
      </c>
      <c r="J51" s="6"/>
      <c r="K51" s="6">
        <v>1.4416</v>
      </c>
    </row>
    <row r="52" spans="1:11">
      <c r="A52" s="4" t="s">
        <v>6</v>
      </c>
      <c r="B52" s="4" t="s">
        <v>53</v>
      </c>
      <c r="C52" s="4"/>
      <c r="D52" s="4" t="s">
        <v>149</v>
      </c>
      <c r="E52" s="4"/>
      <c r="F52" s="4"/>
      <c r="G52" s="4"/>
      <c r="H52" s="4"/>
      <c r="I52" s="6">
        <v>1.389</v>
      </c>
      <c r="J52" s="6"/>
      <c r="K52" s="6">
        <v>1.389</v>
      </c>
    </row>
    <row r="53" spans="1:11">
      <c r="A53" s="4" t="s">
        <v>6</v>
      </c>
      <c r="B53" s="4" t="s">
        <v>54</v>
      </c>
      <c r="C53" s="4"/>
      <c r="D53" s="4" t="s">
        <v>149</v>
      </c>
      <c r="E53" s="4"/>
      <c r="F53" s="4"/>
      <c r="G53" s="4"/>
      <c r="H53" s="4"/>
      <c r="I53" s="6">
        <v>1.54046666666667</v>
      </c>
      <c r="J53" s="6"/>
      <c r="K53" s="6">
        <v>1.54046666666667</v>
      </c>
    </row>
    <row r="54" spans="1:11">
      <c r="A54" s="4" t="s">
        <v>6</v>
      </c>
      <c r="B54" s="4" t="s">
        <v>55</v>
      </c>
      <c r="C54" s="4"/>
      <c r="D54" s="4" t="s">
        <v>149</v>
      </c>
      <c r="E54" s="4"/>
      <c r="F54" s="4"/>
      <c r="G54" s="4"/>
      <c r="H54" s="4"/>
      <c r="I54" s="6">
        <v>1.5946</v>
      </c>
      <c r="J54" s="6"/>
      <c r="K54" s="6">
        <v>1.5946</v>
      </c>
    </row>
    <row r="55" spans="1:11">
      <c r="A55" s="4" t="s">
        <v>6</v>
      </c>
      <c r="B55" s="4" t="s">
        <v>56</v>
      </c>
      <c r="C55" s="4"/>
      <c r="D55" s="4" t="s">
        <v>149</v>
      </c>
      <c r="E55" s="4"/>
      <c r="F55" s="4"/>
      <c r="G55" s="4"/>
      <c r="H55" s="4"/>
      <c r="I55" s="6">
        <v>1.389</v>
      </c>
      <c r="J55" s="6"/>
      <c r="K55" s="6">
        <v>1.389</v>
      </c>
    </row>
    <row r="56" spans="1:11">
      <c r="A56" s="4" t="s">
        <v>6</v>
      </c>
      <c r="B56" s="4" t="s">
        <v>57</v>
      </c>
      <c r="C56" s="4"/>
      <c r="D56" s="4" t="s">
        <v>149</v>
      </c>
      <c r="E56" s="4"/>
      <c r="F56" s="4"/>
      <c r="G56" s="4"/>
      <c r="H56" s="4"/>
      <c r="I56" s="6">
        <v>1.45233333333333</v>
      </c>
      <c r="J56" s="6"/>
      <c r="K56" s="6">
        <v>1.45233333333333</v>
      </c>
    </row>
    <row r="57" spans="1:11">
      <c r="A57" s="4" t="s">
        <v>6</v>
      </c>
      <c r="B57" s="4" t="s">
        <v>58</v>
      </c>
      <c r="C57" s="4"/>
      <c r="D57" s="4" t="s">
        <v>149</v>
      </c>
      <c r="E57" s="4"/>
      <c r="F57" s="4"/>
      <c r="G57" s="4"/>
      <c r="H57" s="4"/>
      <c r="I57" s="6">
        <v>1.38533333333333</v>
      </c>
      <c r="J57" s="6"/>
      <c r="K57" s="6">
        <v>1.38533333333333</v>
      </c>
    </row>
    <row r="58" spans="1:11">
      <c r="A58" s="4" t="s">
        <v>6</v>
      </c>
      <c r="B58" s="4" t="s">
        <v>59</v>
      </c>
      <c r="C58" s="4"/>
      <c r="D58" s="4" t="s">
        <v>149</v>
      </c>
      <c r="E58" s="4"/>
      <c r="F58" s="4"/>
      <c r="G58" s="4"/>
      <c r="H58" s="4"/>
      <c r="I58" s="6">
        <v>1.389</v>
      </c>
      <c r="J58" s="6"/>
      <c r="K58" s="6">
        <v>1.389</v>
      </c>
    </row>
    <row r="59" spans="1:11">
      <c r="A59" s="2" t="s">
        <v>9</v>
      </c>
      <c r="B59" s="2" t="s">
        <v>61</v>
      </c>
      <c r="C59" s="2"/>
      <c r="D59" s="2" t="s">
        <v>150</v>
      </c>
      <c r="E59" s="2"/>
      <c r="F59" s="3" t="s">
        <v>151</v>
      </c>
      <c r="G59" s="2"/>
      <c r="H59" s="2"/>
      <c r="I59" s="6">
        <v>3</v>
      </c>
      <c r="J59" s="2"/>
      <c r="K59" s="6">
        <v>3</v>
      </c>
    </row>
    <row r="60" spans="1:11">
      <c r="A60" s="2" t="s">
        <v>9</v>
      </c>
      <c r="B60" s="2" t="s">
        <v>38</v>
      </c>
      <c r="C60" s="2"/>
      <c r="D60" s="2" t="s">
        <v>150</v>
      </c>
      <c r="E60" s="2"/>
      <c r="F60" s="3" t="s">
        <v>151</v>
      </c>
      <c r="G60" s="2"/>
      <c r="H60" s="2"/>
      <c r="I60" s="6">
        <v>0.675</v>
      </c>
      <c r="J60" s="2"/>
      <c r="K60" s="6">
        <v>0.675</v>
      </c>
    </row>
    <row r="61" spans="1:11">
      <c r="A61" s="2" t="s">
        <v>9</v>
      </c>
      <c r="B61" s="2" t="s">
        <v>35</v>
      </c>
      <c r="C61" s="2"/>
      <c r="D61" s="2" t="s">
        <v>150</v>
      </c>
      <c r="E61" s="2"/>
      <c r="F61" s="3" t="s">
        <v>151</v>
      </c>
      <c r="G61" s="2"/>
      <c r="H61" s="2"/>
      <c r="I61" s="6">
        <v>0.675</v>
      </c>
      <c r="J61" s="2"/>
      <c r="K61" s="6">
        <v>0.675</v>
      </c>
    </row>
    <row r="62" spans="1:11">
      <c r="A62" s="2" t="s">
        <v>9</v>
      </c>
      <c r="B62" s="2" t="s">
        <v>34</v>
      </c>
      <c r="C62" s="2"/>
      <c r="D62" s="2" t="s">
        <v>150</v>
      </c>
      <c r="E62" s="2"/>
      <c r="F62" s="3" t="s">
        <v>151</v>
      </c>
      <c r="G62" s="2"/>
      <c r="H62" s="2"/>
      <c r="I62" s="6">
        <v>1.1</v>
      </c>
      <c r="J62" s="2"/>
      <c r="K62" s="6">
        <v>1.1</v>
      </c>
    </row>
    <row r="63" spans="1:11">
      <c r="A63" s="2" t="s">
        <v>9</v>
      </c>
      <c r="B63" s="2" t="s">
        <v>33</v>
      </c>
      <c r="C63" s="2"/>
      <c r="D63" s="2" t="s">
        <v>150</v>
      </c>
      <c r="E63" s="2"/>
      <c r="F63" s="3" t="s">
        <v>151</v>
      </c>
      <c r="G63" s="2"/>
      <c r="H63" s="2"/>
      <c r="I63" s="6">
        <v>1.475</v>
      </c>
      <c r="J63" s="2"/>
      <c r="K63" s="6">
        <v>1.475</v>
      </c>
    </row>
    <row r="64" spans="1:11">
      <c r="A64" s="2" t="s">
        <v>9</v>
      </c>
      <c r="B64" s="2" t="s">
        <v>30</v>
      </c>
      <c r="C64" s="2"/>
      <c r="D64" s="2" t="s">
        <v>150</v>
      </c>
      <c r="E64" s="2"/>
      <c r="F64" s="3" t="s">
        <v>151</v>
      </c>
      <c r="G64" s="2"/>
      <c r="H64" s="2"/>
      <c r="I64" s="6">
        <v>1.8</v>
      </c>
      <c r="J64" s="2"/>
      <c r="K64" s="6">
        <v>1.8</v>
      </c>
    </row>
    <row r="65" spans="1:11">
      <c r="A65" s="2" t="s">
        <v>9</v>
      </c>
      <c r="B65" s="2" t="s">
        <v>27</v>
      </c>
      <c r="C65" s="2"/>
      <c r="D65" s="2" t="s">
        <v>150</v>
      </c>
      <c r="E65" s="2"/>
      <c r="F65" s="3" t="s">
        <v>151</v>
      </c>
      <c r="G65" s="2"/>
      <c r="H65" s="2"/>
      <c r="I65" s="6">
        <v>3</v>
      </c>
      <c r="J65" s="2"/>
      <c r="K65" s="6">
        <v>3</v>
      </c>
    </row>
    <row r="66" spans="1:11">
      <c r="A66" s="2" t="s">
        <v>9</v>
      </c>
      <c r="B66" s="2" t="s">
        <v>24</v>
      </c>
      <c r="C66" s="2"/>
      <c r="D66" s="2" t="s">
        <v>150</v>
      </c>
      <c r="E66" s="2"/>
      <c r="F66" s="3" t="s">
        <v>151</v>
      </c>
      <c r="G66" s="2"/>
      <c r="H66" s="2"/>
      <c r="I66" s="6">
        <v>1.225</v>
      </c>
      <c r="J66" s="2"/>
      <c r="K66" s="6">
        <v>1.225</v>
      </c>
    </row>
    <row r="67" spans="1:11">
      <c r="A67" s="2" t="s">
        <v>9</v>
      </c>
      <c r="B67" s="2" t="s">
        <v>19</v>
      </c>
      <c r="C67" s="2"/>
      <c r="D67" s="2" t="s">
        <v>150</v>
      </c>
      <c r="E67" s="2"/>
      <c r="F67" s="3" t="s">
        <v>151</v>
      </c>
      <c r="G67" s="2"/>
      <c r="H67" s="2"/>
      <c r="I67" s="6">
        <v>0.75</v>
      </c>
      <c r="J67" s="2"/>
      <c r="K67" s="6">
        <v>0.75</v>
      </c>
    </row>
    <row r="68" spans="1:11">
      <c r="A68" s="2" t="s">
        <v>9</v>
      </c>
      <c r="B68" s="2" t="s">
        <v>17</v>
      </c>
      <c r="C68" s="2"/>
      <c r="D68" s="2" t="s">
        <v>150</v>
      </c>
      <c r="E68" s="2"/>
      <c r="F68" s="3" t="s">
        <v>151</v>
      </c>
      <c r="G68" s="2"/>
      <c r="H68" s="2"/>
      <c r="I68" s="6">
        <v>0.75</v>
      </c>
      <c r="J68" s="2"/>
      <c r="K68" s="6">
        <v>0.75</v>
      </c>
    </row>
    <row r="69" spans="1:11">
      <c r="A69" s="2" t="s">
        <v>9</v>
      </c>
      <c r="B69" s="2" t="s">
        <v>16</v>
      </c>
      <c r="C69" s="2"/>
      <c r="D69" s="2" t="s">
        <v>150</v>
      </c>
      <c r="E69" s="2"/>
      <c r="F69" s="3" t="s">
        <v>151</v>
      </c>
      <c r="G69" s="2"/>
      <c r="H69" s="2"/>
      <c r="I69" s="6">
        <v>0.075</v>
      </c>
      <c r="J69" s="2"/>
      <c r="K69" s="6">
        <v>0.075</v>
      </c>
    </row>
    <row r="70" spans="1:11">
      <c r="A70" s="2" t="s">
        <v>9</v>
      </c>
      <c r="B70" s="2" t="s">
        <v>13</v>
      </c>
      <c r="C70" s="2"/>
      <c r="D70" s="2" t="s">
        <v>150</v>
      </c>
      <c r="E70" s="2"/>
      <c r="F70" s="3" t="s">
        <v>151</v>
      </c>
      <c r="G70" s="2"/>
      <c r="H70" s="2"/>
      <c r="I70" s="6">
        <v>1.175</v>
      </c>
      <c r="J70" s="2"/>
      <c r="K70" s="6">
        <v>1.175</v>
      </c>
    </row>
    <row r="71" spans="1:11">
      <c r="A71" s="2" t="s">
        <v>9</v>
      </c>
      <c r="B71" s="2" t="s">
        <v>12</v>
      </c>
      <c r="C71" s="2"/>
      <c r="D71" s="2" t="s">
        <v>150</v>
      </c>
      <c r="E71" s="2"/>
      <c r="F71" s="3" t="s">
        <v>151</v>
      </c>
      <c r="G71" s="2"/>
      <c r="H71" s="2"/>
      <c r="I71" s="6">
        <v>0.075</v>
      </c>
      <c r="J71" s="2"/>
      <c r="K71" s="6">
        <v>0.075</v>
      </c>
    </row>
    <row r="72" spans="1:11">
      <c r="A72" s="2" t="s">
        <v>6</v>
      </c>
      <c r="B72" s="2" t="s">
        <v>57</v>
      </c>
      <c r="C72" s="2"/>
      <c r="D72" s="2" t="s">
        <v>150</v>
      </c>
      <c r="E72" s="2"/>
      <c r="F72" s="3" t="s">
        <v>151</v>
      </c>
      <c r="G72" s="2"/>
      <c r="H72" s="2"/>
      <c r="I72" s="6">
        <v>1.75</v>
      </c>
      <c r="J72" s="2"/>
      <c r="K72" s="6">
        <v>1.75</v>
      </c>
    </row>
    <row r="73" spans="1:11">
      <c r="A73" s="2" t="s">
        <v>6</v>
      </c>
      <c r="B73" s="2" t="s">
        <v>52</v>
      </c>
      <c r="C73" s="2"/>
      <c r="D73" s="2" t="s">
        <v>150</v>
      </c>
      <c r="E73" s="2"/>
      <c r="F73" s="3" t="s">
        <v>151</v>
      </c>
      <c r="G73" s="2"/>
      <c r="H73" s="2"/>
      <c r="I73" s="6">
        <v>2.425</v>
      </c>
      <c r="J73" s="2"/>
      <c r="K73" s="6">
        <v>2.425</v>
      </c>
    </row>
    <row r="74" spans="1:11">
      <c r="A74" s="2" t="s">
        <v>6</v>
      </c>
      <c r="B74" s="2" t="s">
        <v>49</v>
      </c>
      <c r="C74" s="2"/>
      <c r="D74" s="2" t="s">
        <v>150</v>
      </c>
      <c r="E74" s="2"/>
      <c r="F74" s="3" t="s">
        <v>151</v>
      </c>
      <c r="G74" s="2"/>
      <c r="H74" s="2"/>
      <c r="I74" s="6">
        <v>0.15</v>
      </c>
      <c r="J74" s="2"/>
      <c r="K74" s="6">
        <v>0.15</v>
      </c>
    </row>
    <row r="75" spans="1:11">
      <c r="A75" s="2" t="s">
        <v>6</v>
      </c>
      <c r="B75" s="2" t="s">
        <v>47</v>
      </c>
      <c r="C75" s="2"/>
      <c r="D75" s="2" t="s">
        <v>150</v>
      </c>
      <c r="E75" s="2"/>
      <c r="F75" s="3" t="s">
        <v>151</v>
      </c>
      <c r="G75" s="2"/>
      <c r="H75" s="2"/>
      <c r="I75" s="6">
        <v>3</v>
      </c>
      <c r="J75" s="2"/>
      <c r="K75" s="6">
        <v>3</v>
      </c>
    </row>
    <row r="76" spans="1:11">
      <c r="A76" s="2" t="s">
        <v>6</v>
      </c>
      <c r="B76" s="2" t="s">
        <v>46</v>
      </c>
      <c r="C76" s="2"/>
      <c r="D76" s="2" t="s">
        <v>150</v>
      </c>
      <c r="E76" s="2"/>
      <c r="F76" s="3" t="s">
        <v>151</v>
      </c>
      <c r="G76" s="2"/>
      <c r="H76" s="2"/>
      <c r="I76" s="6">
        <v>1.975</v>
      </c>
      <c r="J76" s="2"/>
      <c r="K76" s="6">
        <v>1.975</v>
      </c>
    </row>
    <row r="77" spans="1:11">
      <c r="A77" s="2" t="s">
        <v>6</v>
      </c>
      <c r="B77" s="2" t="s">
        <v>44</v>
      </c>
      <c r="C77" s="2"/>
      <c r="D77" s="2" t="s">
        <v>150</v>
      </c>
      <c r="E77" s="2"/>
      <c r="F77" s="3" t="s">
        <v>151</v>
      </c>
      <c r="G77" s="2"/>
      <c r="H77" s="2"/>
      <c r="I77" s="6">
        <v>0.3</v>
      </c>
      <c r="J77" s="2"/>
      <c r="K77" s="6">
        <v>0.3</v>
      </c>
    </row>
  </sheetData>
  <dataValidations count="2">
    <dataValidation allowBlank="1" showInputMessage="1" showErrorMessage="1" sqref="D1"/>
    <dataValidation type="list" allowBlank="1" showInputMessage="1" showErrorMessage="1" sqref="D2:D1048576">
      <formula1>"劳动日常考核基础分,活动与卫生加减分,志愿服务,实习实训"</formula1>
    </dataValidation>
  </dataValidation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9"/>
  <sheetViews>
    <sheetView topLeftCell="C1" workbookViewId="0">
      <selection activeCell="E21" sqref="E21"/>
    </sheetView>
  </sheetViews>
  <sheetFormatPr defaultColWidth="9.2037037037037" defaultRowHeight="14.4"/>
  <cols>
    <col min="1" max="1" width="19.2037037037037" style="1" customWidth="1"/>
    <col min="2" max="2" width="13.2685185185185" style="1" customWidth="1"/>
    <col min="3" max="3" width="9.33333333333333" style="1" customWidth="1"/>
    <col min="4" max="4" width="29.6666666666667" style="1" customWidth="1"/>
    <col min="5" max="5" width="57.3981481481481" style="1" customWidth="1"/>
    <col min="6" max="6" width="6" style="1" customWidth="1"/>
    <col min="7" max="7" width="7.33333333333333" style="1" customWidth="1"/>
    <col min="8" max="9" width="8.12962962962963" style="1" customWidth="1"/>
    <col min="10" max="10" width="8.87037037037037" style="1" customWidth="1"/>
    <col min="11" max="11" width="15.1296296296296" style="1" customWidth="1"/>
    <col min="12" max="12" width="6" style="1" customWidth="1"/>
    <col min="13" max="16384" width="9.2037037037037" style="1"/>
  </cols>
  <sheetData>
    <row r="1" spans="1:12">
      <c r="A1" s="2" t="s">
        <v>0</v>
      </c>
      <c r="B1" s="2" t="s">
        <v>1</v>
      </c>
      <c r="C1" s="3" t="s">
        <v>2</v>
      </c>
      <c r="D1" s="2" t="s">
        <v>100</v>
      </c>
      <c r="E1" s="2" t="s">
        <v>101</v>
      </c>
      <c r="F1" s="2" t="s">
        <v>102</v>
      </c>
      <c r="G1" s="2" t="s">
        <v>103</v>
      </c>
      <c r="H1" s="2" t="s">
        <v>122</v>
      </c>
      <c r="I1" s="2" t="s">
        <v>123</v>
      </c>
      <c r="J1" s="2" t="s">
        <v>104</v>
      </c>
      <c r="K1" s="2" t="s">
        <v>124</v>
      </c>
      <c r="L1" s="2" t="s">
        <v>99</v>
      </c>
    </row>
    <row r="2" spans="1:12">
      <c r="A2" s="4" t="s">
        <v>9</v>
      </c>
      <c r="B2" s="4" t="s">
        <v>13</v>
      </c>
      <c r="C2" s="4"/>
      <c r="D2" s="4" t="s">
        <v>85</v>
      </c>
      <c r="E2" s="4" t="s">
        <v>152</v>
      </c>
      <c r="F2" s="4" t="s">
        <v>153</v>
      </c>
      <c r="G2" s="4"/>
      <c r="H2" s="4" t="s">
        <v>145</v>
      </c>
      <c r="I2" s="4"/>
      <c r="J2" s="6">
        <v>3.5</v>
      </c>
      <c r="K2" s="6">
        <v>0.8</v>
      </c>
      <c r="L2" s="6">
        <v>2.8</v>
      </c>
    </row>
    <row r="3" spans="1:12">
      <c r="A3" s="4" t="s">
        <v>9</v>
      </c>
      <c r="B3" s="4" t="s">
        <v>13</v>
      </c>
      <c r="C3" s="4"/>
      <c r="D3" s="4" t="s">
        <v>86</v>
      </c>
      <c r="E3" s="4" t="s">
        <v>154</v>
      </c>
      <c r="F3" s="4"/>
      <c r="G3" s="4"/>
      <c r="H3" s="4"/>
      <c r="I3" s="4"/>
      <c r="J3" s="6"/>
      <c r="K3" s="6"/>
      <c r="L3" s="6">
        <v>0.5</v>
      </c>
    </row>
    <row r="4" spans="1:12">
      <c r="A4" s="4" t="s">
        <v>9</v>
      </c>
      <c r="B4" s="4" t="s">
        <v>61</v>
      </c>
      <c r="C4" s="4"/>
      <c r="D4" s="4" t="s">
        <v>85</v>
      </c>
      <c r="E4" s="4" t="s">
        <v>155</v>
      </c>
      <c r="F4" s="4" t="s">
        <v>153</v>
      </c>
      <c r="G4" s="4"/>
      <c r="H4" s="4" t="s">
        <v>141</v>
      </c>
      <c r="I4" s="4"/>
      <c r="J4" s="6">
        <v>4</v>
      </c>
      <c r="K4" s="6"/>
      <c r="L4" s="6">
        <v>4</v>
      </c>
    </row>
    <row r="5" spans="1:12">
      <c r="A5" s="4" t="s">
        <v>9</v>
      </c>
      <c r="B5" s="4" t="s">
        <v>61</v>
      </c>
      <c r="C5" s="4"/>
      <c r="D5" s="4" t="s">
        <v>85</v>
      </c>
      <c r="E5" s="5" t="s">
        <v>156</v>
      </c>
      <c r="F5" s="4" t="s">
        <v>153</v>
      </c>
      <c r="G5" s="4"/>
      <c r="H5" s="4" t="s">
        <v>141</v>
      </c>
      <c r="I5" s="4"/>
      <c r="J5" s="6">
        <v>4</v>
      </c>
      <c r="K5" s="6"/>
      <c r="L5" s="6">
        <v>4</v>
      </c>
    </row>
    <row r="6" spans="1:12">
      <c r="A6" s="4" t="s">
        <v>9</v>
      </c>
      <c r="B6" s="4" t="s">
        <v>61</v>
      </c>
      <c r="C6" s="4"/>
      <c r="D6" s="4" t="s">
        <v>85</v>
      </c>
      <c r="E6" s="5" t="s">
        <v>157</v>
      </c>
      <c r="F6" s="4" t="s">
        <v>113</v>
      </c>
      <c r="G6" s="4"/>
      <c r="H6" s="4" t="s">
        <v>147</v>
      </c>
      <c r="I6" s="4"/>
      <c r="J6" s="6">
        <v>2</v>
      </c>
      <c r="K6" s="6"/>
      <c r="L6" s="6">
        <v>2</v>
      </c>
    </row>
    <row r="7" spans="1:12">
      <c r="A7" s="4" t="s">
        <v>9</v>
      </c>
      <c r="B7" s="4" t="s">
        <v>61</v>
      </c>
      <c r="C7" s="4"/>
      <c r="D7" s="4" t="s">
        <v>85</v>
      </c>
      <c r="E7" s="5" t="s">
        <v>158</v>
      </c>
      <c r="F7" s="4" t="s">
        <v>153</v>
      </c>
      <c r="G7" s="4"/>
      <c r="H7" s="4" t="s">
        <v>141</v>
      </c>
      <c r="I7" s="4"/>
      <c r="J7" s="6">
        <v>4</v>
      </c>
      <c r="K7" s="6"/>
      <c r="L7" s="6">
        <v>4</v>
      </c>
    </row>
    <row r="8" spans="1:12">
      <c r="A8" s="4" t="s">
        <v>9</v>
      </c>
      <c r="B8" s="4" t="s">
        <v>61</v>
      </c>
      <c r="C8" s="4"/>
      <c r="D8" s="4" t="s">
        <v>85</v>
      </c>
      <c r="E8" s="5" t="s">
        <v>159</v>
      </c>
      <c r="F8" s="4" t="s">
        <v>160</v>
      </c>
      <c r="G8" s="4"/>
      <c r="H8" s="4" t="s">
        <v>145</v>
      </c>
      <c r="I8" s="4"/>
      <c r="J8" s="6">
        <v>2</v>
      </c>
      <c r="K8" s="6">
        <v>0.9</v>
      </c>
      <c r="L8" s="6">
        <v>1.8</v>
      </c>
    </row>
    <row r="9" spans="1:12">
      <c r="A9" s="4" t="s">
        <v>9</v>
      </c>
      <c r="B9" s="4" t="s">
        <v>61</v>
      </c>
      <c r="C9" s="4"/>
      <c r="D9" s="4" t="s">
        <v>85</v>
      </c>
      <c r="E9" s="5" t="s">
        <v>161</v>
      </c>
      <c r="F9" s="4" t="s">
        <v>160</v>
      </c>
      <c r="G9" s="4"/>
      <c r="H9" s="4" t="s">
        <v>145</v>
      </c>
      <c r="I9" s="4"/>
      <c r="J9" s="6">
        <v>2</v>
      </c>
      <c r="K9" s="6"/>
      <c r="L9" s="6">
        <v>2</v>
      </c>
    </row>
    <row r="10" spans="1:12">
      <c r="A10" s="4" t="s">
        <v>6</v>
      </c>
      <c r="B10" s="4" t="s">
        <v>43</v>
      </c>
      <c r="C10" s="4"/>
      <c r="D10" s="4" t="s">
        <v>86</v>
      </c>
      <c r="E10" s="4" t="s">
        <v>154</v>
      </c>
      <c r="F10" s="4"/>
      <c r="G10" s="4"/>
      <c r="H10" s="4"/>
      <c r="I10" s="4"/>
      <c r="J10" s="6"/>
      <c r="K10" s="6"/>
      <c r="L10" s="6">
        <v>0.5</v>
      </c>
    </row>
    <row r="11" spans="1:12">
      <c r="A11" s="4" t="s">
        <v>6</v>
      </c>
      <c r="B11" s="4" t="s">
        <v>52</v>
      </c>
      <c r="C11" s="4"/>
      <c r="D11" s="4" t="s">
        <v>86</v>
      </c>
      <c r="E11" s="4" t="s">
        <v>154</v>
      </c>
      <c r="F11" s="4"/>
      <c r="G11" s="4"/>
      <c r="H11" s="4"/>
      <c r="I11" s="4"/>
      <c r="J11" s="6"/>
      <c r="K11" s="6"/>
      <c r="L11" s="6">
        <v>0.5</v>
      </c>
    </row>
    <row r="12" spans="1:12">
      <c r="A12" s="4" t="s">
        <v>6</v>
      </c>
      <c r="B12" s="4" t="s">
        <v>48</v>
      </c>
      <c r="C12" s="4"/>
      <c r="D12" s="4" t="s">
        <v>86</v>
      </c>
      <c r="E12" s="4" t="s">
        <v>162</v>
      </c>
      <c r="F12" s="4"/>
      <c r="G12" s="4"/>
      <c r="H12" s="4"/>
      <c r="I12" s="4"/>
      <c r="J12" s="6">
        <v>530</v>
      </c>
      <c r="K12" s="6"/>
      <c r="L12" s="6">
        <v>0.833</v>
      </c>
    </row>
    <row r="13" spans="1:12">
      <c r="A13" s="4" t="s">
        <v>9</v>
      </c>
      <c r="B13" s="4" t="s">
        <v>19</v>
      </c>
      <c r="C13" s="4"/>
      <c r="D13" s="4" t="s">
        <v>163</v>
      </c>
      <c r="E13" s="4" t="s">
        <v>164</v>
      </c>
      <c r="F13" s="4" t="s">
        <v>108</v>
      </c>
      <c r="G13" s="4" t="s">
        <v>120</v>
      </c>
      <c r="H13" s="4"/>
      <c r="I13" s="4"/>
      <c r="J13" s="6">
        <v>0.5</v>
      </c>
      <c r="K13" s="6"/>
      <c r="L13" s="6">
        <v>0.5</v>
      </c>
    </row>
    <row r="14" spans="1:12">
      <c r="A14" s="4" t="s">
        <v>6</v>
      </c>
      <c r="B14" s="4" t="s">
        <v>46</v>
      </c>
      <c r="C14" s="4"/>
      <c r="D14" s="4" t="s">
        <v>163</v>
      </c>
      <c r="E14" s="4" t="s">
        <v>164</v>
      </c>
      <c r="F14" s="4" t="s">
        <v>106</v>
      </c>
      <c r="G14" s="4" t="s">
        <v>120</v>
      </c>
      <c r="H14" s="4"/>
      <c r="I14" s="4"/>
      <c r="J14" s="6">
        <v>0.7</v>
      </c>
      <c r="K14" s="6"/>
      <c r="L14" s="6">
        <v>0.7</v>
      </c>
    </row>
    <row r="15" spans="1:12">
      <c r="A15" s="4" t="s">
        <v>6</v>
      </c>
      <c r="B15" s="4" t="s">
        <v>52</v>
      </c>
      <c r="C15" s="4"/>
      <c r="D15" s="4" t="s">
        <v>163</v>
      </c>
      <c r="E15" s="4" t="s">
        <v>165</v>
      </c>
      <c r="F15" s="4" t="s">
        <v>106</v>
      </c>
      <c r="G15" s="4" t="s">
        <v>120</v>
      </c>
      <c r="H15" s="4"/>
      <c r="I15" s="4"/>
      <c r="J15" s="6">
        <v>0.7</v>
      </c>
      <c r="K15" s="6"/>
      <c r="L15" s="6">
        <v>0.7</v>
      </c>
    </row>
    <row r="16" spans="1:12">
      <c r="A16" s="4" t="s">
        <v>9</v>
      </c>
      <c r="B16" s="4" t="s">
        <v>34</v>
      </c>
      <c r="C16" s="4"/>
      <c r="D16" s="4" t="s">
        <v>163</v>
      </c>
      <c r="E16" s="4" t="s">
        <v>166</v>
      </c>
      <c r="F16" s="4" t="s">
        <v>108</v>
      </c>
      <c r="G16" s="4" t="s">
        <v>120</v>
      </c>
      <c r="H16" s="4"/>
      <c r="I16" s="4"/>
      <c r="J16" s="6">
        <v>0.3</v>
      </c>
      <c r="K16" s="6"/>
      <c r="L16" s="6">
        <v>0.3</v>
      </c>
    </row>
    <row r="17" spans="1:12">
      <c r="A17" s="4" t="s">
        <v>6</v>
      </c>
      <c r="B17" s="4" t="s">
        <v>44</v>
      </c>
      <c r="C17" s="4"/>
      <c r="D17" s="4" t="s">
        <v>163</v>
      </c>
      <c r="E17" s="4" t="s">
        <v>166</v>
      </c>
      <c r="F17" s="4" t="s">
        <v>108</v>
      </c>
      <c r="G17" s="4" t="s">
        <v>120</v>
      </c>
      <c r="H17" s="4"/>
      <c r="I17" s="4"/>
      <c r="J17" s="6">
        <v>0.3</v>
      </c>
      <c r="K17" s="6"/>
      <c r="L17" s="6">
        <v>0.3</v>
      </c>
    </row>
    <row r="18" spans="1:12">
      <c r="A18" s="4" t="s">
        <v>9</v>
      </c>
      <c r="B18" s="4" t="s">
        <v>25</v>
      </c>
      <c r="C18" s="4"/>
      <c r="D18" s="4" t="s">
        <v>163</v>
      </c>
      <c r="E18" s="4" t="s">
        <v>167</v>
      </c>
      <c r="F18" s="4" t="s">
        <v>108</v>
      </c>
      <c r="G18" s="4" t="s">
        <v>120</v>
      </c>
      <c r="H18" s="4"/>
      <c r="I18" s="4"/>
      <c r="J18" s="6">
        <v>0.3</v>
      </c>
      <c r="K18" s="6"/>
      <c r="L18" s="6">
        <v>0.3</v>
      </c>
    </row>
    <row r="19" spans="1:12">
      <c r="A19" s="4" t="s">
        <v>6</v>
      </c>
      <c r="B19" s="4" t="s">
        <v>59</v>
      </c>
      <c r="C19" s="4"/>
      <c r="D19" s="4" t="s">
        <v>163</v>
      </c>
      <c r="E19" s="4" t="s">
        <v>167</v>
      </c>
      <c r="F19" s="4" t="s">
        <v>108</v>
      </c>
      <c r="G19" s="4" t="s">
        <v>120</v>
      </c>
      <c r="H19" s="4"/>
      <c r="I19" s="4"/>
      <c r="J19" s="6">
        <v>0.3</v>
      </c>
      <c r="K19" s="6"/>
      <c r="L19" s="6">
        <v>0.3</v>
      </c>
    </row>
    <row r="20" spans="1:12">
      <c r="A20" s="4" t="s">
        <v>9</v>
      </c>
      <c r="B20" s="4" t="s">
        <v>17</v>
      </c>
      <c r="C20" s="4"/>
      <c r="D20" s="4" t="s">
        <v>163</v>
      </c>
      <c r="E20" s="4" t="s">
        <v>168</v>
      </c>
      <c r="F20" s="4" t="s">
        <v>108</v>
      </c>
      <c r="G20" s="4" t="s">
        <v>120</v>
      </c>
      <c r="H20" s="4"/>
      <c r="I20" s="4"/>
      <c r="J20" s="6">
        <v>0.3</v>
      </c>
      <c r="K20" s="6"/>
      <c r="L20" s="6">
        <v>0.3</v>
      </c>
    </row>
    <row r="21" spans="1:12">
      <c r="A21" s="4" t="s">
        <v>6</v>
      </c>
      <c r="B21" s="4" t="s">
        <v>47</v>
      </c>
      <c r="C21" s="4"/>
      <c r="D21" s="4" t="s">
        <v>163</v>
      </c>
      <c r="E21" s="4" t="s">
        <v>168</v>
      </c>
      <c r="F21" s="4" t="s">
        <v>108</v>
      </c>
      <c r="G21" s="4" t="s">
        <v>120</v>
      </c>
      <c r="H21" s="4"/>
      <c r="I21" s="4"/>
      <c r="J21" s="6">
        <v>0.3</v>
      </c>
      <c r="K21" s="6"/>
      <c r="L21" s="6">
        <v>0.3</v>
      </c>
    </row>
    <row r="22" spans="1:12">
      <c r="A22" s="4" t="s">
        <v>9</v>
      </c>
      <c r="B22" s="4" t="s">
        <v>33</v>
      </c>
      <c r="C22" s="4"/>
      <c r="D22" s="4" t="s">
        <v>163</v>
      </c>
      <c r="E22" s="4" t="s">
        <v>169</v>
      </c>
      <c r="F22" s="4" t="s">
        <v>108</v>
      </c>
      <c r="G22" s="4" t="s">
        <v>120</v>
      </c>
      <c r="H22" s="4"/>
      <c r="I22" s="4"/>
      <c r="J22" s="6">
        <v>0.3</v>
      </c>
      <c r="K22" s="6"/>
      <c r="L22" s="6">
        <v>0.3</v>
      </c>
    </row>
    <row r="23" spans="1:12">
      <c r="A23" s="4" t="s">
        <v>6</v>
      </c>
      <c r="B23" s="4" t="s">
        <v>49</v>
      </c>
      <c r="C23" s="4"/>
      <c r="D23" s="4" t="s">
        <v>163</v>
      </c>
      <c r="E23" s="4" t="s">
        <v>169</v>
      </c>
      <c r="F23" s="4" t="s">
        <v>106</v>
      </c>
      <c r="G23" s="4" t="s">
        <v>120</v>
      </c>
      <c r="H23" s="4"/>
      <c r="I23" s="4"/>
      <c r="J23" s="6">
        <v>0.5</v>
      </c>
      <c r="K23" s="6"/>
      <c r="L23" s="6">
        <v>0.5</v>
      </c>
    </row>
    <row r="24" spans="1:12">
      <c r="A24" s="4" t="s">
        <v>9</v>
      </c>
      <c r="B24" s="4" t="s">
        <v>18</v>
      </c>
      <c r="C24" s="4"/>
      <c r="D24" s="4" t="s">
        <v>163</v>
      </c>
      <c r="E24" s="4" t="s">
        <v>170</v>
      </c>
      <c r="F24" s="4" t="s">
        <v>108</v>
      </c>
      <c r="G24" s="4" t="s">
        <v>120</v>
      </c>
      <c r="H24" s="4"/>
      <c r="I24" s="4"/>
      <c r="J24" s="6">
        <v>0.3</v>
      </c>
      <c r="K24" s="6"/>
      <c r="L24" s="6">
        <v>0.3</v>
      </c>
    </row>
    <row r="25" spans="1:12">
      <c r="A25" s="4" t="s">
        <v>6</v>
      </c>
      <c r="B25" s="4" t="s">
        <v>56</v>
      </c>
      <c r="C25" s="4"/>
      <c r="D25" s="4" t="s">
        <v>163</v>
      </c>
      <c r="E25" s="4" t="s">
        <v>170</v>
      </c>
      <c r="F25" s="4" t="s">
        <v>108</v>
      </c>
      <c r="G25" s="4" t="s">
        <v>120</v>
      </c>
      <c r="H25" s="4"/>
      <c r="I25" s="4"/>
      <c r="J25" s="6">
        <v>0.3</v>
      </c>
      <c r="K25" s="6"/>
      <c r="L25" s="6">
        <v>0.3</v>
      </c>
    </row>
    <row r="26" spans="1:12">
      <c r="A26" s="4" t="s">
        <v>9</v>
      </c>
      <c r="B26" s="4" t="s">
        <v>19</v>
      </c>
      <c r="C26" s="4"/>
      <c r="D26" s="4" t="s">
        <v>163</v>
      </c>
      <c r="E26" s="4" t="s">
        <v>164</v>
      </c>
      <c r="F26" s="4" t="s">
        <v>108</v>
      </c>
      <c r="G26" s="4" t="s">
        <v>107</v>
      </c>
      <c r="H26" s="4"/>
      <c r="I26" s="4"/>
      <c r="J26" s="6">
        <v>0.5</v>
      </c>
      <c r="K26" s="6"/>
      <c r="L26" s="6">
        <v>0.5</v>
      </c>
    </row>
    <row r="27" spans="1:12">
      <c r="A27" s="4" t="s">
        <v>6</v>
      </c>
      <c r="B27" s="4" t="s">
        <v>46</v>
      </c>
      <c r="C27" s="4"/>
      <c r="D27" s="4" t="s">
        <v>163</v>
      </c>
      <c r="E27" s="4" t="s">
        <v>164</v>
      </c>
      <c r="F27" s="4" t="s">
        <v>106</v>
      </c>
      <c r="G27" s="4" t="s">
        <v>107</v>
      </c>
      <c r="H27" s="4"/>
      <c r="I27" s="4"/>
      <c r="J27" s="6">
        <v>0.7</v>
      </c>
      <c r="K27" s="6"/>
      <c r="L27" s="6">
        <v>0.7</v>
      </c>
    </row>
    <row r="28" spans="1:12">
      <c r="A28" s="4" t="s">
        <v>6</v>
      </c>
      <c r="B28" s="4" t="s">
        <v>52</v>
      </c>
      <c r="C28" s="4"/>
      <c r="D28" s="4" t="s">
        <v>163</v>
      </c>
      <c r="E28" s="4" t="s">
        <v>165</v>
      </c>
      <c r="F28" s="4" t="s">
        <v>106</v>
      </c>
      <c r="G28" s="4" t="s">
        <v>107</v>
      </c>
      <c r="H28" s="4"/>
      <c r="I28" s="4"/>
      <c r="J28" s="6">
        <v>0.7</v>
      </c>
      <c r="K28" s="6"/>
      <c r="L28" s="6">
        <v>0.7</v>
      </c>
    </row>
    <row r="29" spans="1:12">
      <c r="A29" s="4" t="s">
        <v>9</v>
      </c>
      <c r="B29" s="4" t="s">
        <v>34</v>
      </c>
      <c r="C29" s="4"/>
      <c r="D29" s="4" t="s">
        <v>163</v>
      </c>
      <c r="E29" s="4" t="s">
        <v>166</v>
      </c>
      <c r="F29" s="4" t="s">
        <v>106</v>
      </c>
      <c r="G29" s="4" t="s">
        <v>107</v>
      </c>
      <c r="H29" s="4"/>
      <c r="I29" s="4"/>
      <c r="J29" s="6">
        <v>0.5</v>
      </c>
      <c r="K29" s="6"/>
      <c r="L29" s="6">
        <v>0.5</v>
      </c>
    </row>
    <row r="30" spans="1:12">
      <c r="A30" s="4" t="s">
        <v>6</v>
      </c>
      <c r="B30" s="4" t="s">
        <v>44</v>
      </c>
      <c r="C30" s="4"/>
      <c r="D30" s="4" t="s">
        <v>163</v>
      </c>
      <c r="E30" s="4" t="s">
        <v>166</v>
      </c>
      <c r="F30" s="4" t="s">
        <v>106</v>
      </c>
      <c r="G30" s="4" t="s">
        <v>107</v>
      </c>
      <c r="H30" s="4"/>
      <c r="I30" s="4"/>
      <c r="J30" s="6">
        <v>0.5</v>
      </c>
      <c r="K30" s="6"/>
      <c r="L30" s="6">
        <v>0.5</v>
      </c>
    </row>
    <row r="31" spans="1:12">
      <c r="A31" s="4" t="s">
        <v>9</v>
      </c>
      <c r="B31" s="4" t="s">
        <v>25</v>
      </c>
      <c r="C31" s="4"/>
      <c r="D31" s="4" t="s">
        <v>163</v>
      </c>
      <c r="E31" s="4" t="s">
        <v>167</v>
      </c>
      <c r="F31" s="4" t="s">
        <v>108</v>
      </c>
      <c r="G31" s="4" t="s">
        <v>107</v>
      </c>
      <c r="H31" s="4"/>
      <c r="I31" s="4"/>
      <c r="J31" s="6">
        <v>0.3</v>
      </c>
      <c r="K31" s="6"/>
      <c r="L31" s="6">
        <v>0.3</v>
      </c>
    </row>
    <row r="32" spans="1:12">
      <c r="A32" s="4" t="s">
        <v>6</v>
      </c>
      <c r="B32" s="4" t="s">
        <v>59</v>
      </c>
      <c r="C32" s="4"/>
      <c r="D32" s="4" t="s">
        <v>163</v>
      </c>
      <c r="E32" s="4" t="s">
        <v>167</v>
      </c>
      <c r="F32" s="4" t="s">
        <v>108</v>
      </c>
      <c r="G32" s="4" t="s">
        <v>107</v>
      </c>
      <c r="H32" s="4"/>
      <c r="I32" s="4"/>
      <c r="J32" s="6">
        <v>0.3</v>
      </c>
      <c r="K32" s="6"/>
      <c r="L32" s="6">
        <v>0.3</v>
      </c>
    </row>
    <row r="33" spans="1:12">
      <c r="A33" s="4" t="s">
        <v>9</v>
      </c>
      <c r="B33" s="4" t="s">
        <v>17</v>
      </c>
      <c r="C33" s="4"/>
      <c r="D33" s="4" t="s">
        <v>163</v>
      </c>
      <c r="E33" s="4" t="s">
        <v>168</v>
      </c>
      <c r="F33" s="4" t="s">
        <v>108</v>
      </c>
      <c r="G33" s="4" t="s">
        <v>107</v>
      </c>
      <c r="H33" s="4"/>
      <c r="I33" s="4"/>
      <c r="J33" s="6">
        <v>0.3</v>
      </c>
      <c r="K33" s="6"/>
      <c r="L33" s="6">
        <v>0.3</v>
      </c>
    </row>
    <row r="34" spans="1:12">
      <c r="A34" s="4" t="s">
        <v>6</v>
      </c>
      <c r="B34" s="4" t="s">
        <v>47</v>
      </c>
      <c r="C34" s="4"/>
      <c r="D34" s="4" t="s">
        <v>163</v>
      </c>
      <c r="E34" s="4" t="s">
        <v>168</v>
      </c>
      <c r="F34" s="4" t="s">
        <v>106</v>
      </c>
      <c r="G34" s="4" t="s">
        <v>107</v>
      </c>
      <c r="H34" s="4"/>
      <c r="I34" s="4"/>
      <c r="J34" s="6">
        <v>0.5</v>
      </c>
      <c r="K34" s="6"/>
      <c r="L34" s="6">
        <v>0.5</v>
      </c>
    </row>
    <row r="35" spans="1:12">
      <c r="A35" s="4" t="s">
        <v>9</v>
      </c>
      <c r="B35" s="4" t="s">
        <v>33</v>
      </c>
      <c r="C35" s="4"/>
      <c r="D35" s="4" t="s">
        <v>163</v>
      </c>
      <c r="E35" s="4" t="s">
        <v>169</v>
      </c>
      <c r="F35" s="4" t="s">
        <v>108</v>
      </c>
      <c r="G35" s="4" t="s">
        <v>107</v>
      </c>
      <c r="H35" s="4"/>
      <c r="I35" s="4"/>
      <c r="J35" s="6">
        <v>0.3</v>
      </c>
      <c r="K35" s="6"/>
      <c r="L35" s="6">
        <v>0.3</v>
      </c>
    </row>
    <row r="36" spans="1:12">
      <c r="A36" s="4" t="s">
        <v>6</v>
      </c>
      <c r="B36" s="4" t="s">
        <v>49</v>
      </c>
      <c r="C36" s="4"/>
      <c r="D36" s="4" t="s">
        <v>163</v>
      </c>
      <c r="E36" s="4" t="s">
        <v>169</v>
      </c>
      <c r="F36" s="4" t="s">
        <v>106</v>
      </c>
      <c r="G36" s="4" t="s">
        <v>107</v>
      </c>
      <c r="H36" s="4"/>
      <c r="I36" s="4"/>
      <c r="J36" s="6">
        <v>0.5</v>
      </c>
      <c r="K36" s="6"/>
      <c r="L36" s="6">
        <v>0.5</v>
      </c>
    </row>
    <row r="37" spans="1:12">
      <c r="A37" s="4" t="s">
        <v>9</v>
      </c>
      <c r="B37" s="4" t="s">
        <v>18</v>
      </c>
      <c r="C37" s="4"/>
      <c r="D37" s="4" t="s">
        <v>163</v>
      </c>
      <c r="E37" s="4" t="s">
        <v>170</v>
      </c>
      <c r="F37" s="4" t="s">
        <v>108</v>
      </c>
      <c r="G37" s="4" t="s">
        <v>107</v>
      </c>
      <c r="H37" s="4"/>
      <c r="I37" s="4"/>
      <c r="J37" s="6">
        <v>0.3</v>
      </c>
      <c r="K37" s="6"/>
      <c r="L37" s="6">
        <v>0.3</v>
      </c>
    </row>
    <row r="38" spans="1:12">
      <c r="A38" s="4" t="s">
        <v>6</v>
      </c>
      <c r="B38" s="4" t="s">
        <v>56</v>
      </c>
      <c r="C38" s="4"/>
      <c r="D38" s="4" t="s">
        <v>163</v>
      </c>
      <c r="E38" s="4" t="s">
        <v>170</v>
      </c>
      <c r="F38" s="4" t="s">
        <v>106</v>
      </c>
      <c r="G38" s="4" t="s">
        <v>107</v>
      </c>
      <c r="H38" s="4"/>
      <c r="I38" s="4"/>
      <c r="J38" s="6">
        <v>0.5</v>
      </c>
      <c r="K38" s="6"/>
      <c r="L38" s="6">
        <v>0.5</v>
      </c>
    </row>
    <row r="39" spans="1:12">
      <c r="A39" s="4" t="s">
        <v>9</v>
      </c>
      <c r="B39" s="31" t="s">
        <v>27</v>
      </c>
      <c r="C39" s="4"/>
      <c r="D39" s="4" t="s">
        <v>85</v>
      </c>
      <c r="E39" s="4" t="s">
        <v>171</v>
      </c>
      <c r="F39" s="4"/>
      <c r="G39" s="4"/>
      <c r="H39" s="4"/>
      <c r="I39" s="4"/>
      <c r="J39" s="6">
        <v>0.3</v>
      </c>
      <c r="K39" s="6"/>
      <c r="L39" s="6">
        <v>0.3</v>
      </c>
    </row>
    <row r="40" spans="1:12">
      <c r="A40" s="4" t="s">
        <v>9</v>
      </c>
      <c r="B40" s="31" t="s">
        <v>27</v>
      </c>
      <c r="C40" s="4"/>
      <c r="D40" s="4" t="s">
        <v>86</v>
      </c>
      <c r="E40" s="4" t="s">
        <v>162</v>
      </c>
      <c r="F40" s="4"/>
      <c r="G40" s="4"/>
      <c r="H40" s="4"/>
      <c r="I40" s="4"/>
      <c r="J40" s="6">
        <v>540</v>
      </c>
      <c r="K40" s="6"/>
      <c r="L40" s="6">
        <f>J40/600</f>
        <v>0.9</v>
      </c>
    </row>
    <row r="41" spans="1:12">
      <c r="A41" s="4" t="s">
        <v>9</v>
      </c>
      <c r="B41" s="31" t="s">
        <v>30</v>
      </c>
      <c r="C41" s="4"/>
      <c r="D41" s="4" t="s">
        <v>87</v>
      </c>
      <c r="E41" s="4" t="s">
        <v>172</v>
      </c>
      <c r="F41" s="4" t="s">
        <v>113</v>
      </c>
      <c r="G41" s="4"/>
      <c r="H41" s="4" t="s">
        <v>145</v>
      </c>
      <c r="I41" s="4"/>
      <c r="J41" s="6">
        <v>1</v>
      </c>
      <c r="K41" s="6"/>
      <c r="L41" s="6">
        <v>1</v>
      </c>
    </row>
    <row r="42" spans="1:12">
      <c r="A42" s="4" t="s">
        <v>9</v>
      </c>
      <c r="B42" s="4" t="s">
        <v>13</v>
      </c>
      <c r="C42" s="4"/>
      <c r="D42" s="4" t="s">
        <v>163</v>
      </c>
      <c r="E42" s="4" t="s">
        <v>173</v>
      </c>
      <c r="F42" s="4" t="s">
        <v>174</v>
      </c>
      <c r="G42" s="4" t="s">
        <v>107</v>
      </c>
      <c r="H42" s="4"/>
      <c r="I42" s="4"/>
      <c r="J42" s="6">
        <v>0.95</v>
      </c>
      <c r="K42" s="6"/>
      <c r="L42" s="6">
        <v>0.95</v>
      </c>
    </row>
    <row r="43" spans="1:12">
      <c r="A43" s="4" t="s">
        <v>9</v>
      </c>
      <c r="B43" s="4" t="s">
        <v>17</v>
      </c>
      <c r="C43" s="4"/>
      <c r="D43" s="4" t="s">
        <v>163</v>
      </c>
      <c r="E43" s="4" t="s">
        <v>175</v>
      </c>
      <c r="F43" s="4" t="s">
        <v>106</v>
      </c>
      <c r="G43" s="4" t="s">
        <v>120</v>
      </c>
      <c r="H43" s="4"/>
      <c r="I43" s="4"/>
      <c r="J43" s="6">
        <v>0.7</v>
      </c>
      <c r="K43" s="6"/>
      <c r="L43" s="6">
        <v>0.7</v>
      </c>
    </row>
    <row r="44" spans="1:12">
      <c r="A44" s="4" t="s">
        <v>9</v>
      </c>
      <c r="B44" s="4" t="s">
        <v>19</v>
      </c>
      <c r="C44" s="4"/>
      <c r="D44" s="4" t="s">
        <v>163</v>
      </c>
      <c r="E44" s="4" t="s">
        <v>176</v>
      </c>
      <c r="F44" s="4" t="s">
        <v>108</v>
      </c>
      <c r="G44" s="4" t="s">
        <v>120</v>
      </c>
      <c r="H44" s="4"/>
      <c r="I44" s="4"/>
      <c r="J44" s="6">
        <v>0.5</v>
      </c>
      <c r="K44" s="6"/>
      <c r="L44" s="6">
        <v>0.5</v>
      </c>
    </row>
    <row r="45" spans="1:12">
      <c r="A45" s="4" t="s">
        <v>6</v>
      </c>
      <c r="B45" s="4" t="s">
        <v>47</v>
      </c>
      <c r="C45" s="4"/>
      <c r="D45" s="4" t="s">
        <v>163</v>
      </c>
      <c r="E45" s="4" t="s">
        <v>177</v>
      </c>
      <c r="F45" s="4" t="s">
        <v>108</v>
      </c>
      <c r="G45" s="4" t="s">
        <v>120</v>
      </c>
      <c r="H45" s="4"/>
      <c r="I45" s="4"/>
      <c r="J45" s="6">
        <v>0.5</v>
      </c>
      <c r="K45" s="6"/>
      <c r="L45" s="6">
        <v>0.5</v>
      </c>
    </row>
    <row r="46" spans="1:12">
      <c r="A46" s="4" t="s">
        <v>9</v>
      </c>
      <c r="B46" s="4" t="s">
        <v>13</v>
      </c>
      <c r="C46" s="4"/>
      <c r="D46" s="4" t="s">
        <v>163</v>
      </c>
      <c r="E46" s="4" t="s">
        <v>173</v>
      </c>
      <c r="F46" s="4" t="s">
        <v>178</v>
      </c>
      <c r="G46" s="4" t="s">
        <v>120</v>
      </c>
      <c r="H46" s="4"/>
      <c r="I46" s="4"/>
      <c r="J46" s="6">
        <v>1.15</v>
      </c>
      <c r="K46" s="6"/>
      <c r="L46" s="6">
        <v>1.15</v>
      </c>
    </row>
    <row r="47" spans="1:12">
      <c r="A47" s="4" t="s">
        <v>9</v>
      </c>
      <c r="B47" s="4" t="s">
        <v>17</v>
      </c>
      <c r="C47" s="4"/>
      <c r="D47" s="4" t="s">
        <v>163</v>
      </c>
      <c r="E47" s="4" t="s">
        <v>175</v>
      </c>
      <c r="F47" s="4" t="s">
        <v>106</v>
      </c>
      <c r="G47" s="4" t="s">
        <v>107</v>
      </c>
      <c r="H47" s="4"/>
      <c r="I47" s="4"/>
      <c r="J47" s="6">
        <v>0.7</v>
      </c>
      <c r="K47" s="6"/>
      <c r="L47" s="6">
        <v>0.7</v>
      </c>
    </row>
    <row r="48" spans="1:12">
      <c r="A48" s="4" t="s">
        <v>9</v>
      </c>
      <c r="B48" s="4" t="s">
        <v>19</v>
      </c>
      <c r="C48" s="4"/>
      <c r="D48" s="4" t="s">
        <v>163</v>
      </c>
      <c r="E48" s="4" t="s">
        <v>176</v>
      </c>
      <c r="F48" s="4" t="s">
        <v>108</v>
      </c>
      <c r="G48" s="4" t="s">
        <v>107</v>
      </c>
      <c r="H48" s="4"/>
      <c r="I48" s="4"/>
      <c r="J48" s="6">
        <v>0.5</v>
      </c>
      <c r="K48" s="6"/>
      <c r="L48" s="6">
        <v>0.5</v>
      </c>
    </row>
    <row r="49" spans="1:12">
      <c r="A49" s="4" t="s">
        <v>6</v>
      </c>
      <c r="B49" s="4" t="s">
        <v>47</v>
      </c>
      <c r="C49" s="4"/>
      <c r="D49" s="4" t="s">
        <v>163</v>
      </c>
      <c r="E49" s="4" t="s">
        <v>177</v>
      </c>
      <c r="F49" s="4" t="s">
        <v>108</v>
      </c>
      <c r="G49" s="4" t="s">
        <v>107</v>
      </c>
      <c r="H49" s="4"/>
      <c r="I49" s="4"/>
      <c r="J49" s="6">
        <v>0.5</v>
      </c>
      <c r="K49" s="6"/>
      <c r="L49" s="6">
        <v>0.5</v>
      </c>
    </row>
  </sheetData>
  <autoFilter xmlns:etc="http://www.wps.cn/officeDocument/2017/etCustomData" ref="A1:L49" etc:filterBottomFollowUsedRange="0">
    <extLst/>
  </autoFilter>
  <dataValidations count="2">
    <dataValidation allowBlank="1" showInputMessage="1" showErrorMessage="1" sqref="D1:E1 E13:E38 E42:E1048576"/>
    <dataValidation type="list" allowBlank="1" showInputMessage="1" showErrorMessage="1" sqref="D2:D1048576">
      <formula1>"创新创业素质,水平考试,社会实践,社会工作能力（工作表现）"</formula1>
    </dataValidation>
  </dataValidations>
  <pageMargins left="0.75" right="0.75" top="1" bottom="1" header="0.5" footer="0.5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 
   < w o S h e e t s P r o p s >  
     < w o S h e e t P r o p s   s h e e t S t i d = " 1 "   i n t e r l i n e C o l o r = " 0 "   i s D b S h e e t = " 0 "   i n t e r l i n e O n O f f = " 0 "   i s D a s h B o a r d S h e e t = " 0 " >  
       < c e l l p r o t e c t i o n / >  
     < / w o S h e e t P r o p s >  
   < / w o S h e e t s P r o p s >  
   < w o B o o k P r o p s >  
     < b o o k S e t t i n g s   i s I n s e r P i c A s A t t a c h m e n t = " 0 "   i s A u t o U p d a t e P a u s e d = " 0 "   f i l t e r T y p e = " c o n n "   c o r e C o n q u e r U s e r I d = " "   i s F i l t e r S h a r e d = " 1 "   i s M e r g e T a s k s A u t o U p d a t e = " 0 " / >  
   < / w o B o o k P r o p s >  
 < / w o P r o p s > 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 
   < p i x e l a t o r L i s t   s h e e t S t i d = " 1 " / >  
   < p i x e l a t o r L i s t   s h e e t S t i d = " 2 " / >  
 < / p i x e l a t o r s >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总分表</vt:lpstr>
      <vt:lpstr>计分表</vt:lpstr>
      <vt:lpstr>德育素质</vt:lpstr>
      <vt:lpstr>智育素质</vt:lpstr>
      <vt:lpstr>体育素质</vt:lpstr>
      <vt:lpstr>美育素质</vt:lpstr>
      <vt:lpstr>劳育素质</vt:lpstr>
      <vt:lpstr>创新与实践素质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64859</dc:creator>
  <cp:lastModifiedBy>WPS_1725892838</cp:lastModifiedBy>
  <dcterms:created xsi:type="dcterms:W3CDTF">2020-08-07T13:48:00Z</dcterms:created>
  <dcterms:modified xsi:type="dcterms:W3CDTF">2025-09-29T16:25:50Z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51A51545AAD844F8910168B6363DBCCB_13</vt:lpwstr>
  </property>
</Properties>
</file>